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elly.robinson\Dropbox\Lenfest\GoMex Model\Model dev ms\Final_ToBeSubmitted\Revised ms\Submitted to ICES\"/>
    </mc:Choice>
  </mc:AlternateContent>
  <bookViews>
    <workbookView xWindow="0" yWindow="0" windowWidth="19200" windowHeight="5385" tabRatio="850" firstSheet="2" activeTab="5"/>
  </bookViews>
  <sheets>
    <sheet name="Table of Contents" sheetId="40" r:id="rId1"/>
    <sheet name="A.1 Data Sources" sheetId="17" r:id="rId2"/>
    <sheet name="A.2 FullResvModel_FxnGrp" sheetId="24" r:id="rId3"/>
    <sheet name="A.3 FullyResolvedParamRef" sheetId="9" r:id="rId4"/>
    <sheet name="A.4 FullyResolvedDietMatrix" sheetId="41" r:id="rId5"/>
    <sheet name="A.5 FullModel Diet Matrix Refs" sheetId="14" r:id="rId6"/>
    <sheet name="A.6FullRes Detritus Fate" sheetId="23" r:id="rId7"/>
    <sheet name="A.7 FullyResolvedModel_Pedigree" sheetId="38" r:id="rId8"/>
    <sheet name="A.8 FullyResDietPedigree" sheetId="39" r:id="rId9"/>
    <sheet name="A.9 AggModelParameters" sheetId="36" r:id="rId10"/>
    <sheet name="A.10 AggModel Diet Matrix" sheetId="37" r:id="rId11"/>
    <sheet name="A.11 AggModel detritus fate" sheetId="29" r:id="rId12"/>
    <sheet name="A.12 E2E prod matrix" sheetId="35" r:id="rId13"/>
    <sheet name="A.13 Zooplantkon WWTs" sheetId="1" r:id="rId14"/>
    <sheet name="A.14 Zoopl WWT equations" sheetId="3" r:id="rId15"/>
    <sheet name="A.15 Jellyfish BV2WWT equations" sheetId="27" r:id="rId16"/>
    <sheet name="A.16 Fish&amp;Invert L2Wt Eq" sheetId="32" r:id="rId17"/>
    <sheet name="A.17 Mammal scaling" sheetId="4" r:id="rId18"/>
    <sheet name="A.18 Mammal &amp; Turtle WWT" sheetId="19" r:id="rId19"/>
    <sheet name="A.19 Marine bird biomass" sheetId="13" r:id="rId20"/>
    <sheet name="A.20 Comm Fish Spp." sheetId="16" r:id="rId21"/>
    <sheet name="A.21 RelCont of FxnGrp" sheetId="25" r:id="rId22"/>
    <sheet name="A.22 Rec Fish Spp." sheetId="30" r:id="rId23"/>
    <sheet name="A.23 Rec fish discard rates" sheetId="22" r:id="rId24"/>
    <sheet name="A.24 Scaling factors" sheetId="28" r:id="rId25"/>
  </sheets>
  <externalReferences>
    <externalReference r:id="rId26"/>
  </externalReferences>
  <definedNames>
    <definedName name="_xlnm._FilterDatabase" localSheetId="16" hidden="1">'A.16 Fish&amp;Invert L2Wt Eq'!$A$4:$O$711</definedName>
    <definedName name="cornerBasic">[1]Main!$C$1</definedName>
    <definedName name="cornerDiets">[1]Diets!$A$1</definedName>
    <definedName name="cornerDiscards">[1]Discards!$A$1</definedName>
    <definedName name="cornerFishing">[1]Fishing!$A$1</definedName>
    <definedName name="cornerPedcat">#REF!</definedName>
    <definedName name="cornerPedigree">#REF!</definedName>
    <definedName name="FishingLinks">[1]Main!$B$8</definedName>
    <definedName name="matBasic">[1]Main!$C$2:$N$57</definedName>
    <definedName name="matFishing">[1]Fishing!#REF!</definedName>
    <definedName name="matPedcat">#REF!</definedName>
    <definedName name="matPedigree">#REF!</definedName>
    <definedName name="NumDead">[1]Main!$B$4</definedName>
    <definedName name="NumGears">[1]Main!$B$5</definedName>
    <definedName name="NumLiving">[1]Main!$B$3</definedName>
    <definedName name="PredPreyLinks">[1]Main!$B$7</definedName>
    <definedName name="Table5_1_1CommFisheryToFxnGrp" localSheetId="20">'A.20 Comm Fish Spp.'!$A$1</definedName>
    <definedName name="Table5_2_1_Rec_Landing_Data_Sources" localSheetId="1">'A.1 Data Sources'!$A$1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B61" i="41" l="1"/>
  <c r="BA61" i="41"/>
  <c r="AZ61" i="41"/>
  <c r="AY61" i="41"/>
  <c r="AX61" i="41"/>
  <c r="AW61" i="41"/>
  <c r="AV61" i="41"/>
  <c r="AU61" i="41"/>
  <c r="AT61" i="41"/>
  <c r="AR61" i="41"/>
  <c r="AQ61" i="41"/>
  <c r="AP61" i="41"/>
  <c r="AO61" i="41"/>
  <c r="AN61" i="41"/>
  <c r="AM61" i="41"/>
  <c r="AL61" i="41"/>
  <c r="AK61" i="41"/>
  <c r="AJ61" i="41"/>
  <c r="AI61" i="41"/>
  <c r="AH61" i="41"/>
  <c r="AG61" i="41"/>
  <c r="AD61" i="41"/>
  <c r="AC61" i="41"/>
  <c r="AA61" i="41"/>
  <c r="Y61" i="41"/>
  <c r="X61" i="41"/>
  <c r="W61" i="41"/>
  <c r="V61" i="41"/>
  <c r="U61" i="41"/>
  <c r="T61" i="41"/>
  <c r="S61" i="41"/>
  <c r="R61" i="41"/>
  <c r="Q61" i="41"/>
  <c r="P61" i="41"/>
  <c r="O61" i="41"/>
  <c r="N61" i="41"/>
  <c r="M61" i="41"/>
  <c r="L61" i="41"/>
  <c r="K61" i="41"/>
  <c r="J61" i="41"/>
  <c r="I61" i="41"/>
  <c r="H61" i="41"/>
  <c r="G61" i="41"/>
  <c r="F61" i="41"/>
  <c r="E61" i="41"/>
  <c r="D61" i="41"/>
  <c r="C61" i="41"/>
  <c r="AS22" i="41"/>
  <c r="AS61" i="41" s="1"/>
  <c r="AF22" i="41"/>
  <c r="AE22" i="41"/>
  <c r="AB22" i="41"/>
  <c r="AA22" i="41"/>
  <c r="Z22" i="41"/>
  <c r="AS21" i="41"/>
  <c r="AF21" i="41"/>
  <c r="AF61" i="41" s="1"/>
  <c r="AE21" i="41"/>
  <c r="AE61" i="41" s="1"/>
  <c r="AB21" i="41"/>
  <c r="AB61" i="41" s="1"/>
  <c r="AA21" i="41"/>
  <c r="Z21" i="41"/>
  <c r="Z61" i="41" s="1"/>
  <c r="A8" i="41"/>
  <c r="A9" i="41" s="1"/>
  <c r="A10" i="41" s="1"/>
  <c r="A11" i="41" s="1"/>
  <c r="A12" i="41" s="1"/>
  <c r="A13" i="41" s="1"/>
  <c r="A14" i="41" s="1"/>
  <c r="A15" i="41" s="1"/>
  <c r="A16" i="41" s="1"/>
  <c r="A17" i="41" s="1"/>
  <c r="A18" i="41" s="1"/>
  <c r="A19" i="41" s="1"/>
  <c r="A20" i="41" s="1"/>
  <c r="A21" i="41" s="1"/>
  <c r="A22" i="41" s="1"/>
  <c r="A23" i="41" s="1"/>
  <c r="A24" i="41" s="1"/>
  <c r="A25" i="41" s="1"/>
  <c r="A26" i="41" s="1"/>
  <c r="A27" i="41" s="1"/>
  <c r="A28" i="41" s="1"/>
  <c r="A29" i="41" s="1"/>
  <c r="A30" i="41" s="1"/>
  <c r="A31" i="41" s="1"/>
  <c r="A32" i="41" s="1"/>
  <c r="A33" i="41" s="1"/>
  <c r="A34" i="41" s="1"/>
  <c r="A35" i="41" s="1"/>
  <c r="A36" i="41" s="1"/>
  <c r="A37" i="41" s="1"/>
  <c r="A38" i="41" s="1"/>
  <c r="A39" i="41" s="1"/>
  <c r="A40" i="41" s="1"/>
  <c r="A41" i="41" s="1"/>
  <c r="A42" i="41" s="1"/>
  <c r="A43" i="41" s="1"/>
  <c r="A44" i="41" s="1"/>
  <c r="A45" i="41" s="1"/>
  <c r="A46" i="41" s="1"/>
  <c r="A47" i="41" s="1"/>
  <c r="A48" i="41" s="1"/>
  <c r="A49" i="41" s="1"/>
  <c r="A50" i="41" s="1"/>
  <c r="A51" i="41" s="1"/>
  <c r="A52" i="41" s="1"/>
  <c r="A53" i="41" s="1"/>
  <c r="A54" i="41" s="1"/>
  <c r="A55" i="41" s="1"/>
  <c r="A56" i="41" s="1"/>
  <c r="A57" i="41" s="1"/>
  <c r="A58" i="41" s="1"/>
  <c r="A59" i="41" s="1"/>
  <c r="A7" i="41"/>
  <c r="AP56" i="39" l="1"/>
  <c r="AO56" i="39"/>
  <c r="AI56" i="39"/>
  <c r="AC56" i="39"/>
  <c r="K56" i="39"/>
  <c r="I56" i="39"/>
  <c r="AK54" i="39"/>
  <c r="AU53" i="39"/>
  <c r="AP53" i="39"/>
  <c r="AO53" i="39"/>
  <c r="AN53" i="39"/>
  <c r="AI53" i="39"/>
  <c r="W53" i="39"/>
  <c r="R53" i="39"/>
  <c r="Q53" i="39"/>
  <c r="K53" i="39"/>
  <c r="AU42" i="39"/>
  <c r="AP42" i="39"/>
  <c r="AN42" i="39"/>
  <c r="AK42" i="39"/>
  <c r="AI42" i="39"/>
  <c r="AC42" i="39"/>
  <c r="W42" i="39"/>
  <c r="R42" i="39"/>
  <c r="Q42" i="39"/>
  <c r="K42" i="39"/>
  <c r="AP41" i="39"/>
  <c r="AN41" i="39"/>
  <c r="AI41" i="39"/>
  <c r="W41" i="39"/>
  <c r="AU40" i="39"/>
  <c r="AP40" i="39"/>
  <c r="AN40" i="39"/>
  <c r="AK40" i="39"/>
  <c r="AI40" i="39"/>
  <c r="W40" i="39"/>
  <c r="Q40" i="39"/>
  <c r="K40" i="39"/>
  <c r="AC39" i="39"/>
  <c r="W39" i="39"/>
  <c r="AU38" i="39"/>
  <c r="AI38" i="39"/>
  <c r="AC38" i="39"/>
  <c r="AU37" i="39"/>
  <c r="AK37" i="39"/>
  <c r="AI37" i="39"/>
  <c r="AC37" i="39"/>
  <c r="W37" i="39"/>
  <c r="K37" i="39"/>
  <c r="W36" i="39"/>
  <c r="R36" i="39"/>
  <c r="AU35" i="39"/>
  <c r="AP35" i="39"/>
  <c r="AI35" i="39"/>
  <c r="AC35" i="39"/>
  <c r="W35" i="39"/>
  <c r="R35" i="39"/>
  <c r="K35" i="39"/>
  <c r="AC34" i="39"/>
  <c r="AU33" i="39"/>
  <c r="AK33" i="39"/>
  <c r="AC33" i="39"/>
  <c r="W33" i="39"/>
  <c r="R33" i="39"/>
  <c r="Q33" i="39"/>
  <c r="W31" i="39"/>
  <c r="R31" i="39"/>
  <c r="AC27" i="39"/>
  <c r="AU24" i="39"/>
  <c r="AK24" i="39"/>
  <c r="AC23" i="39"/>
  <c r="AI20" i="39"/>
  <c r="AC20" i="39"/>
  <c r="AU19" i="39"/>
  <c r="AC19" i="39"/>
  <c r="AI18" i="39"/>
  <c r="AC18" i="39"/>
  <c r="W17" i="39"/>
  <c r="AC16" i="39"/>
  <c r="AI15" i="39"/>
  <c r="AC15" i="39"/>
  <c r="W15" i="39"/>
  <c r="AU14" i="39"/>
  <c r="AK14" i="39"/>
  <c r="Q14" i="39"/>
  <c r="AU13" i="39"/>
  <c r="AK13" i="39"/>
  <c r="Q13" i="39"/>
  <c r="AU12" i="39"/>
  <c r="Q12" i="39"/>
  <c r="AI11" i="39"/>
  <c r="AC11" i="39"/>
  <c r="W11" i="39"/>
  <c r="AN10" i="39"/>
  <c r="AK10" i="39"/>
  <c r="AU9" i="39"/>
  <c r="AP9" i="39"/>
  <c r="AK9" i="39"/>
  <c r="AI9" i="39"/>
  <c r="W9" i="39"/>
  <c r="R9" i="39"/>
  <c r="Q9" i="39"/>
  <c r="K9" i="39"/>
  <c r="AK8" i="39"/>
  <c r="W8" i="39"/>
  <c r="Q8" i="39"/>
  <c r="AP7" i="39"/>
  <c r="AN7" i="39"/>
  <c r="AK7" i="39"/>
  <c r="AI7" i="39"/>
  <c r="K7" i="39"/>
  <c r="I7" i="39"/>
  <c r="AI6" i="39"/>
  <c r="Q6" i="39"/>
  <c r="AU4" i="39"/>
  <c r="AP4" i="39"/>
  <c r="AO4" i="39"/>
  <c r="AN4" i="39"/>
  <c r="AI4" i="39"/>
  <c r="AC4" i="39"/>
  <c r="W4" i="39"/>
  <c r="R4" i="39"/>
  <c r="K4" i="39"/>
  <c r="AP3" i="39"/>
  <c r="AO3" i="39"/>
  <c r="AN3" i="39"/>
  <c r="AI3" i="39"/>
  <c r="K3" i="39"/>
  <c r="I3" i="39"/>
  <c r="C60" i="3" l="1"/>
  <c r="K31" i="4" l="1"/>
  <c r="K28" i="4"/>
  <c r="K27" i="4"/>
  <c r="K26" i="4"/>
  <c r="K22" i="4"/>
  <c r="K18" i="4"/>
  <c r="K16" i="4"/>
  <c r="K15" i="4"/>
  <c r="K14" i="4"/>
  <c r="K13" i="4"/>
  <c r="K12" i="4"/>
  <c r="K9" i="4"/>
  <c r="L54" i="3" l="1"/>
  <c r="L51" i="3"/>
  <c r="L50" i="3"/>
  <c r="L49" i="3"/>
  <c r="L48" i="3"/>
  <c r="L47" i="3"/>
  <c r="C46" i="3"/>
  <c r="L37" i="3"/>
  <c r="L32" i="3"/>
  <c r="L36" i="3"/>
  <c r="L33" i="3"/>
  <c r="C18" i="3"/>
</calcChain>
</file>

<file path=xl/sharedStrings.xml><?xml version="1.0" encoding="utf-8"?>
<sst xmlns="http://schemas.openxmlformats.org/spreadsheetml/2006/main" count="10669" uniqueCount="3149">
  <si>
    <t>WWT (g)</t>
  </si>
  <si>
    <t>euphausiids</t>
  </si>
  <si>
    <t>Euphausiid protozoea</t>
  </si>
  <si>
    <t>euphausiid shrimp</t>
  </si>
  <si>
    <t>Euphausiid shrimp</t>
  </si>
  <si>
    <t>fish eggs</t>
  </si>
  <si>
    <t>Fish eggs</t>
  </si>
  <si>
    <t>fish larvae</t>
  </si>
  <si>
    <t>Fish larvae</t>
  </si>
  <si>
    <t>fish larvae mean</t>
  </si>
  <si>
    <t>gelatinous filter feeders</t>
  </si>
  <si>
    <t>Doliolids</t>
  </si>
  <si>
    <t>doliolids</t>
  </si>
  <si>
    <t>Larvaceans</t>
  </si>
  <si>
    <t>larvacean_mean</t>
  </si>
  <si>
    <t>Salps</t>
  </si>
  <si>
    <t>salp_mean</t>
  </si>
  <si>
    <t>large copepods</t>
  </si>
  <si>
    <t>Acartia</t>
  </si>
  <si>
    <t>Calanoid copepods</t>
  </si>
  <si>
    <t>calanoid copepod mean</t>
  </si>
  <si>
    <t>Centropages</t>
  </si>
  <si>
    <t>Clausocalanus</t>
  </si>
  <si>
    <t>Eucalanus</t>
  </si>
  <si>
    <t>Microsetella</t>
  </si>
  <si>
    <t>Paracalanus</t>
  </si>
  <si>
    <t>Temora</t>
  </si>
  <si>
    <t>other mesozooplankton</t>
  </si>
  <si>
    <t>Amphipods</t>
  </si>
  <si>
    <t>amphipod</t>
  </si>
  <si>
    <t>Ascidian larvae</t>
  </si>
  <si>
    <t>ascidian larvae</t>
  </si>
  <si>
    <t>Barnacle cypprid</t>
  </si>
  <si>
    <t>barnacle cyprid</t>
  </si>
  <si>
    <t>Barnacle nauplii</t>
  </si>
  <si>
    <t>barnacle nauplii</t>
  </si>
  <si>
    <t>Bivalve larvae</t>
  </si>
  <si>
    <t>bivalve larvae</t>
  </si>
  <si>
    <t>Cladoceran</t>
  </si>
  <si>
    <t>cladoceran</t>
  </si>
  <si>
    <t>Cladocerans</t>
  </si>
  <si>
    <t>crab (juvenile)</t>
  </si>
  <si>
    <t>crab megalopae</t>
  </si>
  <si>
    <t>Crab megalopa</t>
  </si>
  <si>
    <t>Crab Pre-Zoea</t>
  </si>
  <si>
    <t>Other decapods (larvae)</t>
  </si>
  <si>
    <t>Crab zoea</t>
  </si>
  <si>
    <t>decapod crab zoea_mean</t>
  </si>
  <si>
    <t>Decapod</t>
  </si>
  <si>
    <t>Decapod shrimp larvae (mysis zoea)</t>
  </si>
  <si>
    <t>Echinoderms</t>
  </si>
  <si>
    <t>echinoderm larvae</t>
  </si>
  <si>
    <t>Gastropod</t>
  </si>
  <si>
    <t>gastropod larvae</t>
  </si>
  <si>
    <t>Gastropod larvae</t>
  </si>
  <si>
    <t>Larval tunicate</t>
  </si>
  <si>
    <t>Mysid larvae</t>
  </si>
  <si>
    <t>Mysid shrimp</t>
  </si>
  <si>
    <t>mysid shrimp</t>
  </si>
  <si>
    <t>Nauplii</t>
  </si>
  <si>
    <t>Ostracods</t>
  </si>
  <si>
    <t>ostracods</t>
  </si>
  <si>
    <t>Other decapods (post-larvae/adult)</t>
  </si>
  <si>
    <t>Other decapods (post-larvae/adult) mean</t>
  </si>
  <si>
    <t>Phoronida (actiontroch larvae)</t>
  </si>
  <si>
    <t>phoronidae</t>
  </si>
  <si>
    <t>Phoronids</t>
  </si>
  <si>
    <t>Polychaete larvae (trochophores)</t>
  </si>
  <si>
    <t>polychaete larvae</t>
  </si>
  <si>
    <t>Polychaetes</t>
  </si>
  <si>
    <t>Pteropods</t>
  </si>
  <si>
    <t>pteropod</t>
  </si>
  <si>
    <t>Stomatopod larvae</t>
  </si>
  <si>
    <t>small copepods</t>
  </si>
  <si>
    <t>Corycaeus</t>
  </si>
  <si>
    <t>Cyclopoid copepods</t>
  </si>
  <si>
    <t>cyclopoid copepod mean</t>
  </si>
  <si>
    <t>Harpacticoid copepods</t>
  </si>
  <si>
    <t>harpacticoid copepod mean</t>
  </si>
  <si>
    <t>Hemicyclops</t>
  </si>
  <si>
    <t>Oithona</t>
  </si>
  <si>
    <t>Oncaea</t>
  </si>
  <si>
    <t>Parasitic copepods</t>
  </si>
  <si>
    <t>Poecilostomatoida mean</t>
  </si>
  <si>
    <t>small gelatinous carnivores</t>
  </si>
  <si>
    <t>Chaetognaths</t>
  </si>
  <si>
    <t>chaetognath_mean</t>
  </si>
  <si>
    <t>Ctenophores (juvenile)</t>
  </si>
  <si>
    <t>ctenophore juvenile</t>
  </si>
  <si>
    <t>Ctenophores (larval)</t>
  </si>
  <si>
    <t>ctenophore larvae</t>
  </si>
  <si>
    <t>Ephyra</t>
  </si>
  <si>
    <t>hydromedusae</t>
  </si>
  <si>
    <t>Hydromedusae</t>
  </si>
  <si>
    <t>Scyphomedusae (juvenile)</t>
  </si>
  <si>
    <t>Scyphomedusae (removed)</t>
  </si>
  <si>
    <t>Siphonophore (Physonectae)</t>
  </si>
  <si>
    <t>siphonophores</t>
  </si>
  <si>
    <t>Siphonophores (Calycophora)</t>
  </si>
  <si>
    <t>Siphonophores (Cystonectae)</t>
  </si>
  <si>
    <t>small squids</t>
  </si>
  <si>
    <t>Cephalopods</t>
  </si>
  <si>
    <t>squid</t>
  </si>
  <si>
    <t>Model functional group</t>
  </si>
  <si>
    <t>Taxa weight used</t>
  </si>
  <si>
    <t>Taxonomic group</t>
  </si>
  <si>
    <r>
      <rPr>
        <i/>
        <sz val="11"/>
        <color indexed="8"/>
        <rFont val="Calibri"/>
        <family val="2"/>
      </rPr>
      <t>Corycaeus</t>
    </r>
    <r>
      <rPr>
        <sz val="11"/>
        <color indexed="8"/>
        <rFont val="Calibri"/>
      </rPr>
      <t xml:space="preserve"> sp.</t>
    </r>
  </si>
  <si>
    <r>
      <rPr>
        <i/>
        <sz val="11"/>
        <color indexed="8"/>
        <rFont val="Calibri"/>
        <family val="2"/>
      </rPr>
      <t>Oithona</t>
    </r>
    <r>
      <rPr>
        <sz val="11"/>
        <color indexed="8"/>
        <rFont val="Calibri"/>
      </rPr>
      <t xml:space="preserve"> sp.</t>
    </r>
  </si>
  <si>
    <r>
      <rPr>
        <i/>
        <sz val="11"/>
        <color indexed="8"/>
        <rFont val="Calibri"/>
        <family val="2"/>
      </rPr>
      <t>Oncaea</t>
    </r>
    <r>
      <rPr>
        <sz val="11"/>
        <color indexed="8"/>
        <rFont val="Calibri"/>
      </rPr>
      <t xml:space="preserve"> sp.</t>
    </r>
  </si>
  <si>
    <r>
      <rPr>
        <i/>
        <sz val="11"/>
        <color indexed="8"/>
        <rFont val="Calibri"/>
        <family val="2"/>
      </rPr>
      <t xml:space="preserve">Paracalanus </t>
    </r>
    <r>
      <rPr>
        <sz val="11"/>
        <color indexed="8"/>
        <rFont val="Calibri"/>
      </rPr>
      <t>sp.</t>
    </r>
  </si>
  <si>
    <r>
      <rPr>
        <i/>
        <sz val="11"/>
        <color indexed="8"/>
        <rFont val="Calibri"/>
        <family val="2"/>
      </rPr>
      <t>Acartia</t>
    </r>
    <r>
      <rPr>
        <sz val="11"/>
        <color indexed="8"/>
        <rFont val="Calibri"/>
        <family val="2"/>
      </rPr>
      <t xml:space="preserve"> sp. mean</t>
    </r>
  </si>
  <si>
    <r>
      <rPr>
        <i/>
        <sz val="11"/>
        <color indexed="8"/>
        <rFont val="Calibri"/>
        <family val="2"/>
      </rPr>
      <t>Microstella</t>
    </r>
    <r>
      <rPr>
        <sz val="11"/>
        <color indexed="8"/>
        <rFont val="Calibri"/>
      </rPr>
      <t xml:space="preserve"> sp.</t>
    </r>
  </si>
  <si>
    <r>
      <rPr>
        <i/>
        <sz val="11"/>
        <color indexed="8"/>
        <rFont val="Calibri"/>
        <family val="2"/>
      </rPr>
      <t>Temora</t>
    </r>
    <r>
      <rPr>
        <sz val="11"/>
        <color indexed="8"/>
        <rFont val="Calibri"/>
      </rPr>
      <t xml:space="preserve"> sp.</t>
    </r>
  </si>
  <si>
    <r>
      <rPr>
        <i/>
        <sz val="11"/>
        <color theme="1"/>
        <rFont val="Calibri"/>
        <family val="2"/>
        <scheme val="minor"/>
      </rPr>
      <t>Cancer</t>
    </r>
    <r>
      <rPr>
        <sz val="11"/>
        <color theme="1"/>
        <rFont val="Calibri"/>
        <family val="2"/>
        <scheme val="minor"/>
      </rPr>
      <t xml:space="preserve"> </t>
    </r>
    <r>
      <rPr>
        <i/>
        <sz val="11"/>
        <color theme="1"/>
        <rFont val="Calibri"/>
        <family val="2"/>
        <scheme val="minor"/>
      </rPr>
      <t>gracilis, C. magister, C. oregonensis,</t>
    </r>
    <r>
      <rPr>
        <sz val="11"/>
        <color theme="1"/>
        <rFont val="Calibri"/>
        <family val="2"/>
        <scheme val="minor"/>
      </rPr>
      <t xml:space="preserve"> and </t>
    </r>
    <r>
      <rPr>
        <i/>
        <sz val="11"/>
        <color theme="1"/>
        <rFont val="Calibri"/>
        <family val="2"/>
        <scheme val="minor"/>
      </rPr>
      <t>C. productus</t>
    </r>
    <r>
      <rPr>
        <sz val="11"/>
        <color theme="1"/>
        <rFont val="Calibri"/>
        <family val="2"/>
        <scheme val="minor"/>
      </rPr>
      <t xml:space="preserve"> megalopae</t>
    </r>
  </si>
  <si>
    <r>
      <rPr>
        <i/>
        <sz val="11"/>
        <color theme="1"/>
        <rFont val="Calibri"/>
        <family val="2"/>
        <scheme val="minor"/>
      </rPr>
      <t xml:space="preserve">Penaeus </t>
    </r>
    <r>
      <rPr>
        <sz val="11"/>
        <color theme="1"/>
        <rFont val="Calibri"/>
        <family val="2"/>
        <scheme val="minor"/>
      </rPr>
      <t>sp.</t>
    </r>
  </si>
  <si>
    <t>Sagitta elegans</t>
  </si>
  <si>
    <t>Sagitta elegans, S. crassa</t>
  </si>
  <si>
    <t>chaetognaths</t>
  </si>
  <si>
    <t>Tomopteris septentrionalis</t>
  </si>
  <si>
    <t>Balanus balanoides</t>
  </si>
  <si>
    <t>Liriope tetraphylla</t>
  </si>
  <si>
    <t>Thalia democratica</t>
  </si>
  <si>
    <r>
      <t xml:space="preserve">Salpa fusiformis </t>
    </r>
    <r>
      <rPr>
        <sz val="11"/>
        <color theme="1"/>
        <rFont val="Calibri"/>
        <family val="2"/>
        <scheme val="minor"/>
      </rPr>
      <t>(solitary)</t>
    </r>
  </si>
  <si>
    <t>Lolliguncula brevis</t>
  </si>
  <si>
    <t>Oikopleura dioica</t>
  </si>
  <si>
    <t>Dolioletta gegenbauri</t>
  </si>
  <si>
    <t>Acartia tonsa</t>
  </si>
  <si>
    <t>Calanoid copepod</t>
  </si>
  <si>
    <t>Paracalanus crassirostris</t>
  </si>
  <si>
    <t>Paracalanus parvus</t>
  </si>
  <si>
    <t>Labridocera bipinnata</t>
  </si>
  <si>
    <t>Pseudodiaptomuis marinus</t>
  </si>
  <si>
    <t>Centropages yamadai</t>
  </si>
  <si>
    <t>Candacia</t>
  </si>
  <si>
    <t>Calanus</t>
  </si>
  <si>
    <t>Euchaeta</t>
  </si>
  <si>
    <t>Cyclopoid copepod</t>
  </si>
  <si>
    <t>Corycaeus affinis</t>
  </si>
  <si>
    <t>Saphirina</t>
  </si>
  <si>
    <t>Corycella</t>
  </si>
  <si>
    <t>Copilia</t>
  </si>
  <si>
    <t>Euterpina actutifrons</t>
  </si>
  <si>
    <t>Microstella norvegica</t>
  </si>
  <si>
    <t>Microstella</t>
  </si>
  <si>
    <t>Muggiaea atlantica</t>
  </si>
  <si>
    <t>Mnemiopsis leidyi</t>
  </si>
  <si>
    <t>Mass-to-Mass conversion</t>
  </si>
  <si>
    <t>__</t>
  </si>
  <si>
    <t>mm</t>
  </si>
  <si>
    <t>µg</t>
  </si>
  <si>
    <r>
      <t>DW</t>
    </r>
    <r>
      <rPr>
        <sz val="12.1"/>
        <color theme="1"/>
        <rFont val="Calibri"/>
        <family val="2"/>
      </rPr>
      <t xml:space="preserve"> = 3.946*(TL)</t>
    </r>
    <r>
      <rPr>
        <vertAlign val="superscript"/>
        <sz val="12.1"/>
        <color theme="1"/>
        <rFont val="Calibri"/>
        <family val="2"/>
      </rPr>
      <t>2.436</t>
    </r>
  </si>
  <si>
    <r>
      <t>DW</t>
    </r>
    <r>
      <rPr>
        <sz val="11"/>
        <color theme="1"/>
        <rFont val="Calibri"/>
        <family val="2"/>
      </rPr>
      <t xml:space="preserve"> = 3.946*(TL)</t>
    </r>
    <r>
      <rPr>
        <vertAlign val="superscript"/>
        <sz val="11"/>
        <color theme="1"/>
        <rFont val="Calibri"/>
        <family val="2"/>
      </rPr>
      <t>2.436</t>
    </r>
  </si>
  <si>
    <r>
      <t>DW = 0.00097*TL</t>
    </r>
    <r>
      <rPr>
        <vertAlign val="superscript"/>
        <sz val="11"/>
        <color theme="1"/>
        <rFont val="Calibri"/>
        <family val="2"/>
        <scheme val="minor"/>
      </rPr>
      <t>2.2365</t>
    </r>
  </si>
  <si>
    <t>mg</t>
  </si>
  <si>
    <t>WT units</t>
  </si>
  <si>
    <t>µm</t>
  </si>
  <si>
    <t>g</t>
  </si>
  <si>
    <r>
      <t>5.265</t>
    </r>
    <r>
      <rPr>
        <vertAlign val="superscript"/>
        <sz val="11"/>
        <color theme="1"/>
        <rFont val="Calibri"/>
        <family val="2"/>
        <scheme val="minor"/>
      </rPr>
      <t>a</t>
    </r>
  </si>
  <si>
    <r>
      <t>12.5</t>
    </r>
    <r>
      <rPr>
        <vertAlign val="superscript"/>
        <sz val="11"/>
        <color theme="1"/>
        <rFont val="Calibri"/>
        <family val="2"/>
        <scheme val="minor"/>
      </rPr>
      <t>a</t>
    </r>
  </si>
  <si>
    <r>
      <t>34</t>
    </r>
    <r>
      <rPr>
        <vertAlign val="superscript"/>
        <sz val="11"/>
        <color theme="1"/>
        <rFont val="Calibri"/>
        <family val="2"/>
        <scheme val="minor"/>
      </rPr>
      <t>a</t>
    </r>
  </si>
  <si>
    <r>
      <t>log</t>
    </r>
    <r>
      <rPr>
        <vertAlign val="subscript"/>
        <sz val="11"/>
        <rFont val="Calibri"/>
        <family val="2"/>
        <scheme val="minor"/>
      </rPr>
      <t>10</t>
    </r>
    <r>
      <rPr>
        <sz val="11"/>
        <rFont val="Calibri"/>
        <family val="2"/>
        <scheme val="minor"/>
      </rPr>
      <t>(C ) = -0.346 + 2.404*log</t>
    </r>
    <r>
      <rPr>
        <vertAlign val="subscript"/>
        <sz val="11"/>
        <rFont val="Calibri"/>
        <family val="2"/>
        <scheme val="minor"/>
      </rPr>
      <t>10</t>
    </r>
    <r>
      <rPr>
        <sz val="11"/>
        <rFont val="Calibri"/>
        <family val="2"/>
        <scheme val="minor"/>
      </rPr>
      <t>(L)</t>
    </r>
  </si>
  <si>
    <r>
      <t>log</t>
    </r>
    <r>
      <rPr>
        <vertAlign val="subscript"/>
        <sz val="10"/>
        <color theme="1"/>
        <rFont val="Calibri"/>
        <family val="2"/>
        <scheme val="minor"/>
      </rPr>
      <t>10</t>
    </r>
    <r>
      <rPr>
        <sz val="11"/>
        <color theme="1"/>
        <rFont val="Calibri"/>
        <family val="2"/>
        <scheme val="minor"/>
      </rPr>
      <t>(DW) = 2.51*log</t>
    </r>
    <r>
      <rPr>
        <vertAlign val="subscript"/>
        <sz val="11"/>
        <color theme="1"/>
        <rFont val="Calibri"/>
        <family val="2"/>
        <scheme val="minor"/>
      </rPr>
      <t>10</t>
    </r>
    <r>
      <rPr>
        <sz val="11"/>
        <color theme="1"/>
        <rFont val="Calibri"/>
        <family val="2"/>
        <scheme val="minor"/>
      </rPr>
      <t>(TrL) - 6.54</t>
    </r>
  </si>
  <si>
    <r>
      <t>C = 0.4643*(TL)</t>
    </r>
    <r>
      <rPr>
        <vertAlign val="superscript"/>
        <sz val="11"/>
        <color theme="1"/>
        <rFont val="Calibri"/>
        <family val="2"/>
        <scheme val="minor"/>
      </rPr>
      <t>2.3119</t>
    </r>
  </si>
  <si>
    <r>
      <t>log</t>
    </r>
    <r>
      <rPr>
        <vertAlign val="subscript"/>
        <sz val="11"/>
        <color theme="1"/>
        <rFont val="Calibri"/>
        <family val="2"/>
        <scheme val="minor"/>
      </rPr>
      <t>10</t>
    </r>
    <r>
      <rPr>
        <sz val="11"/>
        <color theme="1"/>
        <rFont val="Calibri"/>
        <family val="2"/>
        <scheme val="minor"/>
      </rPr>
      <t>(WWT) = -10.27 + 2.304*log</t>
    </r>
    <r>
      <rPr>
        <vertAlign val="subscript"/>
        <sz val="11"/>
        <color theme="1"/>
        <rFont val="Calibri"/>
        <family val="2"/>
        <scheme val="minor"/>
      </rPr>
      <t>10</t>
    </r>
    <r>
      <rPr>
        <sz val="11"/>
        <color theme="1"/>
        <rFont val="Calibri"/>
        <family val="2"/>
        <scheme val="minor"/>
      </rPr>
      <t>(BD)</t>
    </r>
  </si>
  <si>
    <r>
      <t>WWT = 0.01*TL</t>
    </r>
    <r>
      <rPr>
        <vertAlign val="superscript"/>
        <sz val="11"/>
        <color theme="1"/>
        <rFont val="Calibri"/>
        <family val="2"/>
        <scheme val="minor"/>
      </rPr>
      <t>2.136</t>
    </r>
  </si>
  <si>
    <r>
      <t>DW =  13.4*(L)</t>
    </r>
    <r>
      <rPr>
        <vertAlign val="superscript"/>
        <sz val="11"/>
        <color theme="1"/>
        <rFont val="Calibri"/>
        <family val="2"/>
        <scheme val="minor"/>
      </rPr>
      <t>3</t>
    </r>
  </si>
  <si>
    <t>ln(DW) = 2.74ln(PL) – 16.41</t>
  </si>
  <si>
    <r>
      <t>WWT = 0.63*PL*0.27</t>
    </r>
    <r>
      <rPr>
        <vertAlign val="superscript"/>
        <sz val="11"/>
        <color theme="1"/>
        <rFont val="Calibri"/>
        <family val="2"/>
        <scheme val="minor"/>
      </rPr>
      <t>2</t>
    </r>
    <r>
      <rPr>
        <sz val="11"/>
        <color theme="1"/>
        <rFont val="Calibri"/>
        <family val="2"/>
        <scheme val="minor"/>
      </rPr>
      <t/>
    </r>
  </si>
  <si>
    <r>
      <rPr>
        <i/>
        <sz val="11"/>
        <color theme="1"/>
        <rFont val="Calibri"/>
        <family val="2"/>
        <scheme val="minor"/>
      </rPr>
      <t xml:space="preserve">L. louisianensis </t>
    </r>
    <r>
      <rPr>
        <sz val="11"/>
        <color theme="1"/>
        <rFont val="Calibri"/>
        <family val="2"/>
        <scheme val="minor"/>
      </rPr>
      <t>(Zoea I)</t>
    </r>
  </si>
  <si>
    <r>
      <t>0.5</t>
    </r>
    <r>
      <rPr>
        <vertAlign val="superscript"/>
        <sz val="11"/>
        <color theme="1"/>
        <rFont val="Calibri"/>
        <family val="2"/>
        <scheme val="minor"/>
      </rPr>
      <t>a</t>
    </r>
  </si>
  <si>
    <r>
      <t>WWT = 0.0080*(L)</t>
    </r>
    <r>
      <rPr>
        <vertAlign val="superscript"/>
        <sz val="11"/>
        <color theme="1"/>
        <rFont val="Calibri"/>
        <family val="2"/>
        <scheme val="minor"/>
      </rPr>
      <t>3</t>
    </r>
  </si>
  <si>
    <t>Pontella</t>
  </si>
  <si>
    <t>Hyperia</t>
  </si>
  <si>
    <t>Onacaea</t>
  </si>
  <si>
    <t>ln(DW) = 2.74*ln(PL) – 16.41</t>
  </si>
  <si>
    <t>ln(DW) = 1.96*ln(PL) – 11.64</t>
  </si>
  <si>
    <t>Harpacticoid copepod</t>
  </si>
  <si>
    <r>
      <t>DW = (1.389*10</t>
    </r>
    <r>
      <rPr>
        <vertAlign val="superscript"/>
        <sz val="11"/>
        <color theme="1"/>
        <rFont val="Calibri"/>
        <family val="2"/>
        <scheme val="minor"/>
      </rPr>
      <t>-8</t>
    </r>
    <r>
      <rPr>
        <sz val="11"/>
        <color theme="1"/>
        <rFont val="Calibri"/>
        <family val="2"/>
        <scheme val="minor"/>
      </rPr>
      <t>)*(TL</t>
    </r>
    <r>
      <rPr>
        <sz val="12.3"/>
        <color theme="1"/>
        <rFont val="Calibri"/>
        <family val="2"/>
      </rPr>
      <t>)</t>
    </r>
    <r>
      <rPr>
        <vertAlign val="superscript"/>
        <sz val="11"/>
        <color theme="1"/>
        <rFont val="Calibri"/>
        <family val="2"/>
        <scheme val="minor"/>
      </rPr>
      <t>2.857</t>
    </r>
  </si>
  <si>
    <t>Siphonophores</t>
  </si>
  <si>
    <r>
      <t>C = 20.47*(NH)</t>
    </r>
    <r>
      <rPr>
        <vertAlign val="superscript"/>
        <sz val="11"/>
        <color theme="1"/>
        <rFont val="Calibri"/>
        <family val="2"/>
        <scheme val="minor"/>
      </rPr>
      <t>0.834</t>
    </r>
  </si>
  <si>
    <r>
      <t>5.5</t>
    </r>
    <r>
      <rPr>
        <vertAlign val="superscript"/>
        <sz val="11"/>
        <color theme="1"/>
        <rFont val="Calibri"/>
        <family val="2"/>
        <scheme val="minor"/>
      </rPr>
      <t>b</t>
    </r>
  </si>
  <si>
    <t>K. Robinson unpub.</t>
  </si>
  <si>
    <t>cm</t>
  </si>
  <si>
    <t>ctenophore (larvae)</t>
  </si>
  <si>
    <t>Tursiops truncatus truncatus</t>
  </si>
  <si>
    <t>Northern Gulf of Mexico bay, sound and estuarine stocks</t>
  </si>
  <si>
    <t>Northern Gulf of Mexico Continental Shelf Stock</t>
  </si>
  <si>
    <t>Northern Gulf of Mexico Oceanic Stock</t>
  </si>
  <si>
    <t>Atlantic spotted dolphin</t>
  </si>
  <si>
    <t>Stenella frontalis</t>
  </si>
  <si>
    <t>Northern Gulf of Mexico Stock</t>
  </si>
  <si>
    <t>pantropical spotted dolphin</t>
  </si>
  <si>
    <t>Stenella attenuata attenuata</t>
  </si>
  <si>
    <t>striped dolphin</t>
  </si>
  <si>
    <t>Stenella coeruleoalba</t>
  </si>
  <si>
    <t>spinner dolphin</t>
  </si>
  <si>
    <t>Stenella longirostris</t>
  </si>
  <si>
    <t>rough-toothed dolphin</t>
  </si>
  <si>
    <t>Steno bredanensis</t>
  </si>
  <si>
    <t>Clymene dolphin</t>
  </si>
  <si>
    <t>Stenella clymene</t>
  </si>
  <si>
    <t>Fraser's dolphin</t>
  </si>
  <si>
    <t>Lagenodelphis hosei</t>
  </si>
  <si>
    <t xml:space="preserve">Risso's dolphin </t>
  </si>
  <si>
    <t>Grampus griseus</t>
  </si>
  <si>
    <t>melon-headed whale</t>
  </si>
  <si>
    <t>Peponocephala electra</t>
  </si>
  <si>
    <t xml:space="preserve">short-finned pilot whale </t>
  </si>
  <si>
    <t>Globicephala macrorhynchus</t>
  </si>
  <si>
    <t>sperm whale</t>
  </si>
  <si>
    <t>Physeter macrocephalus</t>
  </si>
  <si>
    <t>Cuvier's beaked whale</t>
  </si>
  <si>
    <t>Ziphius cavirostris</t>
  </si>
  <si>
    <t xml:space="preserve">Northern Gulf of Mexico Stock </t>
  </si>
  <si>
    <t>Mesoplodon beaked whales</t>
  </si>
  <si>
    <t>Mesoplodon spp.</t>
  </si>
  <si>
    <t>killer whale</t>
  </si>
  <si>
    <t>Orcinus orca</t>
  </si>
  <si>
    <t>false killer whale</t>
  </si>
  <si>
    <t>Pseudorca crassidens</t>
  </si>
  <si>
    <t>pygmy killer whale</t>
  </si>
  <si>
    <t>Feresa attenuata</t>
  </si>
  <si>
    <t>dwarf &amp; pygmy sperm whale</t>
  </si>
  <si>
    <t>Kogia spp</t>
  </si>
  <si>
    <t>Bryde's whales</t>
  </si>
  <si>
    <t>Balaenoptera edeni</t>
  </si>
  <si>
    <t>0 - 20m</t>
  </si>
  <si>
    <t>inland bays</t>
  </si>
  <si>
    <t>20 - 200m</t>
  </si>
  <si>
    <t>200m - EEZ</t>
  </si>
  <si>
    <t>20 - 200 m</t>
  </si>
  <si>
    <t>shelf &amp; slope (&lt;500m)</t>
  </si>
  <si>
    <t>oceanic</t>
  </si>
  <si>
    <t>shelf &amp; oceanic</t>
  </si>
  <si>
    <t>slope &amp; oceanic (concentrated on slope)</t>
  </si>
  <si>
    <t>slope</t>
  </si>
  <si>
    <t>slope &amp; oceanic</t>
  </si>
  <si>
    <t>oceanic (not seen on shelf)</t>
  </si>
  <si>
    <t>"primarily" oceanic</t>
  </si>
  <si>
    <t>survey isobaths</t>
  </si>
  <si>
    <t>distribution</t>
  </si>
  <si>
    <t>mean count</t>
  </si>
  <si>
    <t>Common name</t>
  </si>
  <si>
    <t>Scientific name</t>
  </si>
  <si>
    <t>Stock</t>
  </si>
  <si>
    <t>STD count</t>
  </si>
  <si>
    <t>Dolphins</t>
  </si>
  <si>
    <t>Odontocetes</t>
  </si>
  <si>
    <t>fraction of domain covered by survey (east-west)</t>
  </si>
  <si>
    <t>fraction of domain covered by survey (depth range)</t>
  </si>
  <si>
    <t>Toothed whales</t>
  </si>
  <si>
    <t>Baleen Whales</t>
  </si>
  <si>
    <t>bottlenose dolphin</t>
  </si>
  <si>
    <t>Gulf of Mexico Sum of Eastern, Northern, and Western Coastal Stocks</t>
  </si>
  <si>
    <t>Clione limacina</t>
  </si>
  <si>
    <t>molluscs</t>
  </si>
  <si>
    <r>
      <t>DW = 1.6146</t>
    </r>
    <r>
      <rPr>
        <vertAlign val="superscript"/>
        <sz val="11"/>
        <color theme="1"/>
        <rFont val="Calibri"/>
        <family val="2"/>
        <scheme val="minor"/>
      </rPr>
      <t>e0.088*(L)</t>
    </r>
  </si>
  <si>
    <r>
      <rPr>
        <i/>
        <sz val="11"/>
        <color theme="1"/>
        <rFont val="Calibri"/>
        <family val="2"/>
        <scheme val="minor"/>
      </rPr>
      <t>Discoconchoecia pseudodiscophora</t>
    </r>
    <r>
      <rPr>
        <sz val="11"/>
        <color theme="1"/>
        <rFont val="Calibri"/>
        <family val="2"/>
        <scheme val="minor"/>
      </rPr>
      <t xml:space="preserve">, </t>
    </r>
    <r>
      <rPr>
        <i/>
        <sz val="11"/>
        <color theme="1"/>
        <rFont val="Calibri"/>
        <family val="2"/>
        <scheme val="minor"/>
      </rPr>
      <t>Orthoconchoecia haddoni</t>
    </r>
    <r>
      <rPr>
        <sz val="11"/>
        <color theme="1"/>
        <rFont val="Calibri"/>
        <family val="2"/>
        <scheme val="minor"/>
      </rPr>
      <t xml:space="preserve">, and </t>
    </r>
    <r>
      <rPr>
        <i/>
        <sz val="11"/>
        <color theme="1"/>
        <rFont val="Calibri"/>
        <family val="2"/>
        <scheme val="minor"/>
      </rPr>
      <t>Metaconchoecia skogsbergi</t>
    </r>
  </si>
  <si>
    <r>
      <t>WWT = 317.67*(TL)</t>
    </r>
    <r>
      <rPr>
        <vertAlign val="superscript"/>
        <sz val="11"/>
        <color theme="1"/>
        <rFont val="Calibri"/>
        <family val="2"/>
        <scheme val="minor"/>
      </rPr>
      <t>1.82</t>
    </r>
  </si>
  <si>
    <r>
      <t>log</t>
    </r>
    <r>
      <rPr>
        <vertAlign val="subscript"/>
        <sz val="11"/>
        <color theme="1"/>
        <rFont val="Calibri"/>
        <family val="2"/>
        <scheme val="minor"/>
      </rPr>
      <t>10</t>
    </r>
    <r>
      <rPr>
        <sz val="11"/>
        <color theme="1"/>
        <rFont val="Calibri"/>
        <family val="2"/>
        <scheme val="minor"/>
      </rPr>
      <t>(DW) = 3.24*log</t>
    </r>
    <r>
      <rPr>
        <vertAlign val="subscript"/>
        <sz val="11"/>
        <color theme="1"/>
        <rFont val="Calibri"/>
        <family val="2"/>
        <scheme val="minor"/>
      </rPr>
      <t>10</t>
    </r>
    <r>
      <rPr>
        <sz val="11"/>
        <color theme="1"/>
        <rFont val="Calibri"/>
        <family val="2"/>
        <scheme val="minor"/>
      </rPr>
      <t>(TL)-0.975</t>
    </r>
  </si>
  <si>
    <r>
      <t>DW = 17.072*(TL)</t>
    </r>
    <r>
      <rPr>
        <vertAlign val="superscript"/>
        <sz val="11"/>
        <color theme="1"/>
        <rFont val="Calibri"/>
        <family val="2"/>
        <scheme val="minor"/>
      </rPr>
      <t>2.545</t>
    </r>
  </si>
  <si>
    <r>
      <t>DW = 3.946*(TL)</t>
    </r>
    <r>
      <rPr>
        <vertAlign val="superscript"/>
        <sz val="11"/>
        <color theme="1"/>
        <rFont val="Calibri"/>
        <family val="2"/>
        <scheme val="minor"/>
      </rPr>
      <t>2.436</t>
    </r>
  </si>
  <si>
    <t>ostracod</t>
  </si>
  <si>
    <r>
      <t>log</t>
    </r>
    <r>
      <rPr>
        <vertAlign val="subscript"/>
        <sz val="11"/>
        <color theme="1"/>
        <rFont val="Calibri"/>
        <family val="2"/>
        <scheme val="minor"/>
      </rPr>
      <t>10</t>
    </r>
    <r>
      <rPr>
        <sz val="11"/>
        <color theme="1"/>
        <rFont val="Calibri"/>
        <family val="2"/>
        <scheme val="minor"/>
      </rPr>
      <t>(DW) = 4.99*log</t>
    </r>
    <r>
      <rPr>
        <vertAlign val="subscript"/>
        <sz val="11"/>
        <color theme="1"/>
        <rFont val="Calibri"/>
        <family val="2"/>
        <scheme val="minor"/>
      </rPr>
      <t>10</t>
    </r>
    <r>
      <rPr>
        <sz val="11"/>
        <color theme="1"/>
        <rFont val="Calibri"/>
        <family val="2"/>
        <scheme val="minor"/>
      </rPr>
      <t>(TL) – 13.77</t>
    </r>
  </si>
  <si>
    <t>Penilia avirostris</t>
  </si>
  <si>
    <t>Engraulis japonica</t>
  </si>
  <si>
    <t>Anchoa mitchilli</t>
  </si>
  <si>
    <r>
      <t>DW</t>
    </r>
    <r>
      <rPr>
        <sz val="11"/>
        <color theme="1"/>
        <rFont val="Calibri"/>
        <family val="2"/>
      </rPr>
      <t xml:space="preserve"> = 0.1550*(SL)</t>
    </r>
    <r>
      <rPr>
        <vertAlign val="superscript"/>
        <sz val="11"/>
        <color theme="1"/>
        <rFont val="Calibri"/>
        <family val="2"/>
      </rPr>
      <t>3.53</t>
    </r>
  </si>
  <si>
    <r>
      <t>DW = 0.0001*(TL)</t>
    </r>
    <r>
      <rPr>
        <vertAlign val="superscript"/>
        <sz val="11"/>
        <color theme="1"/>
        <rFont val="Calibri"/>
        <family val="2"/>
        <scheme val="minor"/>
      </rPr>
      <t>3.582</t>
    </r>
  </si>
  <si>
    <r>
      <t>Anchoa</t>
    </r>
    <r>
      <rPr>
        <sz val="11"/>
        <color theme="1"/>
        <rFont val="Calibri"/>
        <family val="2"/>
        <scheme val="minor"/>
      </rPr>
      <t xml:space="preserve"> sp.</t>
    </r>
  </si>
  <si>
    <t>Length or volume used in eq.</t>
  </si>
  <si>
    <t>Length or volume units</t>
  </si>
  <si>
    <r>
      <t>mm</t>
    </r>
    <r>
      <rPr>
        <vertAlign val="superscript"/>
        <sz val="11"/>
        <color theme="1"/>
        <rFont val="Calibri"/>
        <family val="2"/>
        <scheme val="minor"/>
      </rPr>
      <t>3</t>
    </r>
  </si>
  <si>
    <t>DW = 0.093*(Vol) + 0.0012</t>
  </si>
  <si>
    <r>
      <t>DW = 0.005*TL</t>
    </r>
    <r>
      <rPr>
        <vertAlign val="superscript"/>
        <sz val="11"/>
        <color theme="1"/>
        <rFont val="Calibri"/>
        <family val="2"/>
        <scheme val="minor"/>
      </rPr>
      <t>2.311</t>
    </r>
  </si>
  <si>
    <t>enchinoderm larvae</t>
  </si>
  <si>
    <t>ctenophore (juv.)</t>
  </si>
  <si>
    <r>
      <t xml:space="preserve">Leptasterias epichlora </t>
    </r>
    <r>
      <rPr>
        <sz val="11"/>
        <color theme="1"/>
        <rFont val="Calibri"/>
        <family val="2"/>
        <scheme val="minor"/>
      </rPr>
      <t>juv.</t>
    </r>
  </si>
  <si>
    <t>Poecilostomatoida copepod</t>
  </si>
  <si>
    <r>
      <rPr>
        <i/>
        <sz val="11"/>
        <color theme="1"/>
        <rFont val="Calibri"/>
        <family val="2"/>
        <scheme val="minor"/>
      </rPr>
      <t xml:space="preserve">Melampus </t>
    </r>
    <r>
      <rPr>
        <sz val="11"/>
        <color theme="1"/>
        <rFont val="Calibri"/>
        <family val="2"/>
        <scheme val="minor"/>
      </rPr>
      <t>veliger</t>
    </r>
  </si>
  <si>
    <r>
      <t>DW = 47.386*TL</t>
    </r>
    <r>
      <rPr>
        <vertAlign val="superscript"/>
        <sz val="11"/>
        <color theme="1"/>
        <rFont val="Calibri"/>
        <family val="2"/>
        <scheme val="minor"/>
      </rPr>
      <t>3.663</t>
    </r>
  </si>
  <si>
    <r>
      <t xml:space="preserve">Mytilus edulis </t>
    </r>
    <r>
      <rPr>
        <sz val="11"/>
        <color theme="1"/>
        <rFont val="Calibri"/>
        <family val="2"/>
        <scheme val="minor"/>
      </rPr>
      <t>(D-larva)</t>
    </r>
  </si>
  <si>
    <t>polychaete</t>
  </si>
  <si>
    <t>Phoronidae</t>
  </si>
  <si>
    <t>Length or volume reference</t>
  </si>
  <si>
    <r>
      <t>log</t>
    </r>
    <r>
      <rPr>
        <vertAlign val="subscript"/>
        <sz val="11"/>
        <color theme="1"/>
        <rFont val="Calibri"/>
        <family val="2"/>
        <scheme val="minor"/>
      </rPr>
      <t>10</t>
    </r>
    <r>
      <rPr>
        <sz val="11"/>
        <color theme="1"/>
        <rFont val="Calibri"/>
        <family val="2"/>
        <scheme val="minor"/>
      </rPr>
      <t>C = -0.473 + 3.174*log</t>
    </r>
    <r>
      <rPr>
        <vertAlign val="subscript"/>
        <sz val="11"/>
        <color theme="1"/>
        <rFont val="Calibri"/>
        <family val="2"/>
        <scheme val="minor"/>
      </rPr>
      <t>10</t>
    </r>
    <r>
      <rPr>
        <sz val="11"/>
        <color theme="1"/>
        <rFont val="Calibri"/>
        <family val="2"/>
        <scheme val="minor"/>
      </rPr>
      <t>(TL)</t>
    </r>
  </si>
  <si>
    <t>Euphausia pacifica</t>
  </si>
  <si>
    <t>Euphausiacea</t>
  </si>
  <si>
    <r>
      <t>DW = 0.0012*TL</t>
    </r>
    <r>
      <rPr>
        <vertAlign val="superscript"/>
        <sz val="11"/>
        <color theme="1"/>
        <rFont val="Calibri"/>
        <family val="2"/>
        <scheme val="minor"/>
      </rPr>
      <t>3.16</t>
    </r>
  </si>
  <si>
    <t>polychaete adult</t>
  </si>
  <si>
    <t>other decapods (post-larvae/adult)</t>
  </si>
  <si>
    <t>chaetognath</t>
  </si>
  <si>
    <t>decapod crab zoea</t>
  </si>
  <si>
    <t>other decapod (larvae)</t>
  </si>
  <si>
    <t>salp</t>
  </si>
  <si>
    <t>larvacean</t>
  </si>
  <si>
    <t>doliolid</t>
  </si>
  <si>
    <r>
      <t>C. dellechiajei</t>
    </r>
    <r>
      <rPr>
        <i/>
        <vertAlign val="superscript"/>
        <sz val="11"/>
        <color theme="1"/>
        <rFont val="Calibri"/>
        <family val="2"/>
        <scheme val="minor"/>
      </rPr>
      <t>1</t>
    </r>
  </si>
  <si>
    <t>NGP</t>
  </si>
  <si>
    <t>A. tonsa</t>
  </si>
  <si>
    <t>O. dioica</t>
  </si>
  <si>
    <t>GP</t>
  </si>
  <si>
    <t xml:space="preserve">thaliaceans </t>
  </si>
  <si>
    <r>
      <t xml:space="preserve">S. fusiformis </t>
    </r>
    <r>
      <rPr>
        <sz val="11"/>
        <color theme="1"/>
        <rFont val="Calibri"/>
        <family val="2"/>
        <scheme val="minor"/>
      </rPr>
      <t>(solitary); thaliaceans</t>
    </r>
  </si>
  <si>
    <t>Purcell (1982)</t>
  </si>
  <si>
    <r>
      <t>E. pacifica</t>
    </r>
    <r>
      <rPr>
        <sz val="11"/>
        <color theme="1"/>
        <rFont val="Calibri"/>
        <family val="2"/>
        <scheme val="minor"/>
      </rPr>
      <t xml:space="preserve"> (juv.); NGP</t>
    </r>
  </si>
  <si>
    <t>Mass-to-Mas reference</t>
  </si>
  <si>
    <t>brachyuran zoea larvae</t>
  </si>
  <si>
    <r>
      <rPr>
        <i/>
        <sz val="11"/>
        <color theme="1"/>
        <rFont val="Calibri"/>
        <family val="2"/>
        <scheme val="minor"/>
      </rPr>
      <t xml:space="preserve">L. setiferus </t>
    </r>
    <r>
      <rPr>
        <sz val="11"/>
        <color theme="1"/>
        <rFont val="Calibri"/>
        <family val="2"/>
        <scheme val="minor"/>
      </rPr>
      <t>(larvae)</t>
    </r>
  </si>
  <si>
    <t>1.03E-01 WWT</t>
  </si>
  <si>
    <t>3.12E-03 WWT</t>
  </si>
  <si>
    <t>9.27E-03 WWT</t>
  </si>
  <si>
    <t>5.36E-02 WWT</t>
  </si>
  <si>
    <t>5.40E-04 DW</t>
  </si>
  <si>
    <t>4.30E-06 DW</t>
  </si>
  <si>
    <t>1.28E-04 DW</t>
  </si>
  <si>
    <t>6.40E-02 DW</t>
  </si>
  <si>
    <t>4.00E-04 DW</t>
  </si>
  <si>
    <t>1.13E-05 DW</t>
  </si>
  <si>
    <t>4.33E-02 WWT</t>
  </si>
  <si>
    <t>2.39E-06 DW</t>
  </si>
  <si>
    <t>3.77E-05 DW</t>
  </si>
  <si>
    <t>3.49E-06 DW</t>
  </si>
  <si>
    <t>3.03E-05 DW</t>
  </si>
  <si>
    <t>7.96E-05 DW</t>
  </si>
  <si>
    <t>8.75E-07 DW</t>
  </si>
  <si>
    <t>6.79E-06 DW</t>
  </si>
  <si>
    <t>2.43E-04 DW</t>
  </si>
  <si>
    <t>1.60E-05 DW</t>
  </si>
  <si>
    <t>4.39E-06 DW</t>
  </si>
  <si>
    <t>2.14E-06 DW</t>
  </si>
  <si>
    <t>3.84E-04 DW</t>
  </si>
  <si>
    <t>1.79E-04 DW</t>
  </si>
  <si>
    <t>2.50E-05 DW</t>
  </si>
  <si>
    <t>1.29E-07 DW</t>
  </si>
  <si>
    <r>
      <rPr>
        <vertAlign val="superscript"/>
        <sz val="11"/>
        <color theme="1"/>
        <rFont val="Calibri"/>
        <family val="2"/>
        <scheme val="minor"/>
      </rPr>
      <t>b</t>
    </r>
    <r>
      <rPr>
        <sz val="11"/>
        <color theme="1"/>
        <rFont val="Calibri"/>
        <family val="2"/>
        <scheme val="minor"/>
      </rPr>
      <t>8.08E-06 WWT</t>
    </r>
  </si>
  <si>
    <t>3.26E-07 WWT</t>
  </si>
  <si>
    <t>2.00E-05 DW</t>
  </si>
  <si>
    <t>2.45E+01 WWT</t>
  </si>
  <si>
    <t>0.15 mg DW/1.0 mg WWT</t>
  </si>
  <si>
    <t>0.05-0.15 mg DW/1.0 mg WWT</t>
  </si>
  <si>
    <t>0.176 mg DW/1.0 WWT</t>
  </si>
  <si>
    <t>0.0512 mg C/1.0 mg DW; 0.0494 mg DW/1.0 mg WWT</t>
  </si>
  <si>
    <t>0.0855 mg C/1.0 mg DW; 0.0494 mg DW/1.0 mg WWT</t>
  </si>
  <si>
    <t>balanid nauplii</t>
  </si>
  <si>
    <t>Code</t>
  </si>
  <si>
    <t>Biomass</t>
  </si>
  <si>
    <t>P/B</t>
  </si>
  <si>
    <t>Q/B</t>
  </si>
  <si>
    <t>P/Q</t>
  </si>
  <si>
    <t>AE</t>
  </si>
  <si>
    <t>EE</t>
  </si>
  <si>
    <t>import</t>
  </si>
  <si>
    <t>phytoplankton</t>
  </si>
  <si>
    <t>large jellyfish</t>
  </si>
  <si>
    <t>gulf menhaden</t>
  </si>
  <si>
    <t>odontocetes</t>
  </si>
  <si>
    <t>baleen whales</t>
  </si>
  <si>
    <t>Gulf menhaden</t>
  </si>
  <si>
    <t>Mean individual WWT (g) Used</t>
  </si>
  <si>
    <t>Mass-to-Mass taxon</t>
  </si>
  <si>
    <t>Length-to-weight equation</t>
  </si>
  <si>
    <t>N</t>
  </si>
  <si>
    <t>Mean biomass</t>
  </si>
  <si>
    <t>STD biomass</t>
  </si>
  <si>
    <t>Foraging area in model domain</t>
  </si>
  <si>
    <t>(kg)</t>
  </si>
  <si>
    <r>
      <t>(km</t>
    </r>
    <r>
      <rPr>
        <vertAlign val="superscript"/>
        <sz val="11"/>
        <color theme="1"/>
        <rFont val="Calibri"/>
        <family val="2"/>
        <scheme val="minor"/>
      </rPr>
      <t>2</t>
    </r>
    <r>
      <rPr>
        <sz val="11"/>
        <color theme="1"/>
        <rFont val="Calibri"/>
        <family val="2"/>
        <scheme val="minor"/>
      </rPr>
      <t>)</t>
    </r>
  </si>
  <si>
    <r>
      <t>(t WWT/km</t>
    </r>
    <r>
      <rPr>
        <vertAlign val="superscript"/>
        <sz val="11"/>
        <color theme="1"/>
        <rFont val="Calibri"/>
        <family val="2"/>
        <scheme val="minor"/>
      </rPr>
      <t>2</t>
    </r>
    <r>
      <rPr>
        <sz val="11"/>
        <color theme="1"/>
        <rFont val="Calibri"/>
        <family val="2"/>
        <scheme val="minor"/>
      </rPr>
      <t>)</t>
    </r>
  </si>
  <si>
    <t>Black skimmer</t>
  </si>
  <si>
    <t>Royal tern</t>
  </si>
  <si>
    <t>Least tern</t>
  </si>
  <si>
    <t>Brown pelican</t>
  </si>
  <si>
    <t>0.1086 mg DW/ 1.0 g WWT</t>
  </si>
  <si>
    <r>
      <rPr>
        <vertAlign val="superscript"/>
        <sz val="11"/>
        <color theme="1"/>
        <rFont val="Calibri"/>
        <family val="2"/>
        <scheme val="minor"/>
      </rPr>
      <t>e</t>
    </r>
    <r>
      <rPr>
        <sz val="11"/>
        <color theme="1"/>
        <rFont val="Calibri"/>
        <family val="2"/>
        <scheme val="minor"/>
      </rPr>
      <t>0.20 mg DW/1.0 mg WWT</t>
    </r>
  </si>
  <si>
    <r>
      <rPr>
        <vertAlign val="superscript"/>
        <sz val="11"/>
        <color theme="1"/>
        <rFont val="Calibri"/>
        <family val="2"/>
        <scheme val="minor"/>
      </rPr>
      <t>d</t>
    </r>
    <r>
      <rPr>
        <sz val="11"/>
        <color theme="1"/>
        <rFont val="Calibri"/>
        <family val="2"/>
        <scheme val="minor"/>
      </rPr>
      <t>0.137 mg DW/1.0 mg WWT</t>
    </r>
  </si>
  <si>
    <t>0.30 mg DW/1.0 mg WWT</t>
  </si>
  <si>
    <r>
      <rPr>
        <vertAlign val="superscript"/>
        <sz val="11"/>
        <color theme="1"/>
        <rFont val="Calibri"/>
        <family val="2"/>
        <scheme val="minor"/>
      </rPr>
      <t>d</t>
    </r>
    <r>
      <rPr>
        <sz val="11"/>
        <color theme="1"/>
        <rFont val="Calibri"/>
        <family val="2"/>
        <scheme val="minor"/>
      </rPr>
      <t>0.137 mg DW/ 1.0 mg WWT</t>
    </r>
  </si>
  <si>
    <t>0.176 mg DW/1.0 mg WWT</t>
  </si>
  <si>
    <t>WWT</t>
  </si>
  <si>
    <t>survey area</t>
  </si>
  <si>
    <r>
      <t xml:space="preserve"> (km</t>
    </r>
    <r>
      <rPr>
        <vertAlign val="superscript"/>
        <sz val="11"/>
        <color theme="1"/>
        <rFont val="Calibri"/>
        <family val="2"/>
        <scheme val="minor"/>
      </rPr>
      <t>2</t>
    </r>
    <r>
      <rPr>
        <sz val="11"/>
        <color theme="1"/>
        <rFont val="Calibri"/>
        <family val="2"/>
        <scheme val="minor"/>
      </rPr>
      <t>)</t>
    </r>
  </si>
  <si>
    <t>Functional group</t>
  </si>
  <si>
    <t>Taxa</t>
  </si>
  <si>
    <t>Life-history stage</t>
  </si>
  <si>
    <t>Reference</t>
  </si>
  <si>
    <t>n/a</t>
  </si>
  <si>
    <t>microzooplankton</t>
  </si>
  <si>
    <t>Undinula vulgaris*; Centropages furcatus; Acartia tonsa</t>
  </si>
  <si>
    <t>adult</t>
  </si>
  <si>
    <t>Oithonia</t>
  </si>
  <si>
    <t>Taphromysis bowmani*; Mysidopsis almyra*, Palaemonetes intermedius*; Alpheus heterochaelis*</t>
  </si>
  <si>
    <t>egg</t>
  </si>
  <si>
    <t>larvae</t>
  </si>
  <si>
    <t>www.fishbase.org (Soto et al. 1998; Pisarevskaya et al. 1991)</t>
  </si>
  <si>
    <t>penaeid shrimp</t>
  </si>
  <si>
    <t>Penaeus duorarum; Penaeus aztecus</t>
  </si>
  <si>
    <t>not specified</t>
  </si>
  <si>
    <t>small gelatinous filter-feeder</t>
  </si>
  <si>
    <t>Salp</t>
  </si>
  <si>
    <t>Guesstimate</t>
  </si>
  <si>
    <t>anchovies</t>
  </si>
  <si>
    <t>Anchoa hepsetus</t>
  </si>
  <si>
    <t>adult, juvenile/adult</t>
  </si>
  <si>
    <t>www.fishbase.org (Bowman et al. 2000; Mott et al. 1995; Sierra et al. 1994)</t>
  </si>
  <si>
    <t>Atlantic bumper</t>
  </si>
  <si>
    <t>Chloroscombrus chrysurus</t>
  </si>
  <si>
    <t>juvenile/adult</t>
  </si>
  <si>
    <t>www.fishbase.org (Gómez-Canchong et al. 2004; Bowman et al. 2000)</t>
  </si>
  <si>
    <t>butterfishes</t>
  </si>
  <si>
    <t>www.fishbase.org (Bowman et al. 2000; Cargo et al. 1966)</t>
  </si>
  <si>
    <t>eels</t>
  </si>
  <si>
    <t>Conger oceanicus; Anguilla rostrata; Gymnothorax moringa; Ophichthus ophis</t>
  </si>
  <si>
    <t>adult; juvenile/adult; recruits/juvenile</t>
  </si>
  <si>
    <t>www.fishbase.org (Bowman et al. 2000; Facey and Labar 1981; Randall 1967)</t>
  </si>
  <si>
    <t>herrings</t>
  </si>
  <si>
    <t>Opisthonema oglinum; Harengula jaguana</t>
  </si>
  <si>
    <t>adult: juvenile/adult; recuits/juvenile</t>
  </si>
  <si>
    <t>Brevoortia patronus</t>
  </si>
  <si>
    <t>juvenile, sub-adult, adult, not specifed</t>
  </si>
  <si>
    <t>mullett</t>
  </si>
  <si>
    <t>Mugil curema; Mugil cephalus</t>
  </si>
  <si>
    <t>adult; junvenile/adult</t>
  </si>
  <si>
    <t>www.fishbase (Gómez-Canchong et al. 2004; Blanco et al. 2003; Wells 1984; Randall 1967)</t>
  </si>
  <si>
    <t>red drum</t>
  </si>
  <si>
    <t>Sciaenops ocellatus (ocellata)</t>
  </si>
  <si>
    <t>recruits/juvenile; larvae</t>
  </si>
  <si>
    <t>snapper_grouper</t>
  </si>
  <si>
    <t>Lutjanus campechanus; Lutjanus synagris</t>
  </si>
  <si>
    <t>juvenile</t>
  </si>
  <si>
    <t>skates_rays</t>
  </si>
  <si>
    <t>Rhinoptera bonasus; Dasyatis say; Dasyatis americana; Raja eglanteria</t>
  </si>
  <si>
    <t>www.fishbase.org (Gómez-Canchong et al. 2004; Bowman et al. 2000; Gilliam and Sullivan 1993; Smith and Merriner 1985; Randall 1967)</t>
  </si>
  <si>
    <t>mesopelagic</t>
  </si>
  <si>
    <t>Argyropelecus aculeatus; Maurolicus mueller</t>
  </si>
  <si>
    <t>www.fishbase.org (Gorelova and Krasil'nikova 1990; Hopkins and Baird 1985)</t>
  </si>
  <si>
    <t>small flatfish</t>
  </si>
  <si>
    <t>Etropus crossotus; Syacium papillosum; Citharichthys spilopterus</t>
  </si>
  <si>
    <t>large flatfish</t>
  </si>
  <si>
    <t>Paralichthys lethostigma</t>
  </si>
  <si>
    <t>recruits/juvenile</t>
  </si>
  <si>
    <t>www.fishbase.org (Minello et al. 1989)</t>
  </si>
  <si>
    <t>large coastal sharks</t>
  </si>
  <si>
    <t>Carcharhinus acronotus; Carcharhinus limbatus; Sphyrna lewini</t>
  </si>
  <si>
    <t>small coastal sharks</t>
  </si>
  <si>
    <t>Rhizoprionodon terraenovae; Sphyrna tiburo</t>
  </si>
  <si>
    <t>adult; juvenile/adult</t>
  </si>
  <si>
    <t>offshore sharks</t>
  </si>
  <si>
    <t>Mustelus canis</t>
  </si>
  <si>
    <t>www.fishbase.org (Gómez-Canchong et al. 2004; Bowman et al. 2000; Cortés 1999; Rountree and Able 1996)</t>
  </si>
  <si>
    <t>reef invert feeder</t>
  </si>
  <si>
    <t>Diplectrum formosum*; Chaetodipterus faber</t>
  </si>
  <si>
    <t>www.fishbase.org (Gómez-Canchong et al. 2004; Bowman et al. 2000; Hayse 1990; Randall 1967)</t>
  </si>
  <si>
    <t>reef piscivore</t>
  </si>
  <si>
    <t>Sphyraena guachancho</t>
  </si>
  <si>
    <t>www.fishbase.org (Gómez-Canchong et al. 2004; Sierra et al. 1994)</t>
  </si>
  <si>
    <t>small pelagics</t>
  </si>
  <si>
    <t>Menidia beryllina; Menidia menidia; Hemiramphus balao; Hemiramphus brasiliensis; Hyporhamphus unifasciatus; Kyphosus sectatrix</t>
  </si>
  <si>
    <t>www.fishbase.org (Sierra et al. 1994; Adams 1976; Carr and Adams 1973; Randall 1967)</t>
  </si>
  <si>
    <t>large pelagics</t>
  </si>
  <si>
    <t>Scomberomorus maculatus; Scomberomorus cavalla; Selene vomer; Rachycentron canadum; Caranx hippos</t>
  </si>
  <si>
    <t>small demersal</t>
  </si>
  <si>
    <t>Micropogonias undulatus; Ariopsis felis; Bagre marinus; Stenotomus caprinus; Lagodon rhomboides; Bairdiella chrysoura; Prionotus carolinus; Ogcocephalus nasutus; Synodus intermedius; Leiostomus xanthurus; Cynoscion nebulosus</t>
  </si>
  <si>
    <t>large demersal</t>
  </si>
  <si>
    <t>Pogonias cromis</t>
  </si>
  <si>
    <t>www.fishbase.org (Robins and Ray 1986)</t>
  </si>
  <si>
    <t>Illex illecebrosus</t>
  </si>
  <si>
    <t>blue crab</t>
  </si>
  <si>
    <t>Callinectes sapidus</t>
  </si>
  <si>
    <t>suspension feeders</t>
  </si>
  <si>
    <t>benthic infauna</t>
  </si>
  <si>
    <t>bivalves</t>
  </si>
  <si>
    <t>Amusium papyraceum; Brachiodontes exustus; Congeria leucophaeta*</t>
  </si>
  <si>
    <t>benthic epifauna</t>
  </si>
  <si>
    <t>adult; not specified</t>
  </si>
  <si>
    <t>brown pelican</t>
  </si>
  <si>
    <t>Pelecanus occidentalis </t>
  </si>
  <si>
    <t>terns</t>
  </si>
  <si>
    <t>Sternula antillarum; Thalasseus maximus </t>
  </si>
  <si>
    <t>black skimmer</t>
  </si>
  <si>
    <t>Rynchops niger</t>
  </si>
  <si>
    <t>green sea turtle</t>
  </si>
  <si>
    <t>Chelonia mydas</t>
  </si>
  <si>
    <t>loggerhead sea turtle</t>
  </si>
  <si>
    <t>Caretta caretta</t>
  </si>
  <si>
    <t>Kemp's Ridley sea turtle</t>
  </si>
  <si>
    <t>Lepidochelys kempi</t>
  </si>
  <si>
    <t>leatherback sea turtle</t>
  </si>
  <si>
    <t>Dermochelys coriacea</t>
  </si>
  <si>
    <t>dolphins</t>
  </si>
  <si>
    <t>Tursiops truncatus; Grampus griseus; Lagenodelphis hosei; Stenella attenuata; Stenella frontalis</t>
  </si>
  <si>
    <t>Mesoplodon spp.; Physeter catodon; Kogia breviceps</t>
  </si>
  <si>
    <r>
      <t>Aurelia</t>
    </r>
    <r>
      <rPr>
        <sz val="12"/>
        <color rgb="FF000000"/>
        <rFont val="Calibri"/>
        <family val="2"/>
        <scheme val="minor"/>
      </rPr>
      <t xml:space="preserve"> spp.; </t>
    </r>
    <r>
      <rPr>
        <i/>
        <sz val="12"/>
        <color rgb="FF000000"/>
        <rFont val="Calibri"/>
        <family val="2"/>
        <scheme val="minor"/>
      </rPr>
      <t>Chrysaora</t>
    </r>
    <r>
      <rPr>
        <sz val="12"/>
        <color rgb="FF000000"/>
        <rFont val="Calibri"/>
        <family val="2"/>
        <scheme val="minor"/>
      </rPr>
      <t xml:space="preserve"> sp.</t>
    </r>
  </si>
  <si>
    <r>
      <t xml:space="preserve">Mnemiopsis leidyi; Sphaeronectes gracilis*; Rosaca cymbiformis*; Physalia physalia; Rhizophyza eysenhardii*; Algama elegans*; Algama okeni*; Apolemia uvaria*; Athorybia rosacea*; Cordaglama cordiformis*; Forskalia </t>
    </r>
    <r>
      <rPr>
        <sz val="12"/>
        <color rgb="FF000000"/>
        <rFont val="Calibri"/>
        <family val="2"/>
        <scheme val="minor"/>
      </rPr>
      <t>spp.*;</t>
    </r>
    <r>
      <rPr>
        <i/>
        <sz val="12"/>
        <color rgb="FF000000"/>
        <rFont val="Calibri"/>
        <family val="2"/>
        <scheme val="minor"/>
      </rPr>
      <t xml:space="preserve"> Nanomia bijuga</t>
    </r>
  </si>
  <si>
    <r>
      <t>Balanus</t>
    </r>
    <r>
      <rPr>
        <sz val="12"/>
        <color rgb="FF000000"/>
        <rFont val="Calibri"/>
        <family val="2"/>
        <scheme val="minor"/>
      </rPr>
      <t xml:space="preserve"> sp.; </t>
    </r>
    <r>
      <rPr>
        <i/>
        <sz val="12"/>
        <color rgb="FF000000"/>
        <rFont val="Calibri"/>
        <family val="2"/>
        <scheme val="minor"/>
      </rPr>
      <t>Ostrea</t>
    </r>
    <r>
      <rPr>
        <sz val="12"/>
        <color rgb="FF000000"/>
        <rFont val="Calibri"/>
        <family val="2"/>
        <scheme val="minor"/>
      </rPr>
      <t xml:space="preserve"> sp.</t>
    </r>
  </si>
  <si>
    <r>
      <t xml:space="preserve">Hesiondae; Syllidae; Lumbrineridae; </t>
    </r>
    <r>
      <rPr>
        <i/>
        <sz val="12"/>
        <color rgb="FF000000"/>
        <rFont val="Calibri"/>
        <family val="2"/>
        <scheme val="minor"/>
      </rPr>
      <t>Levinsenia</t>
    </r>
    <r>
      <rPr>
        <sz val="12"/>
        <color rgb="FF000000"/>
        <rFont val="Calibri"/>
        <family val="2"/>
        <scheme val="minor"/>
      </rPr>
      <t xml:space="preserve"> sp.; </t>
    </r>
    <r>
      <rPr>
        <i/>
        <sz val="12"/>
        <color rgb="FF000000"/>
        <rFont val="Calibri"/>
        <family val="2"/>
        <scheme val="minor"/>
      </rPr>
      <t>Magelona</t>
    </r>
    <r>
      <rPr>
        <sz val="12"/>
        <color rgb="FF000000"/>
        <rFont val="Calibri"/>
        <family val="2"/>
        <scheme val="minor"/>
      </rPr>
      <t xml:space="preserve"> sp.</t>
    </r>
  </si>
  <si>
    <r>
      <t>Rhithropanopeus harrisii; Astropecten aranciacus; Astropecten irregularis pentacanthus; Astropecten platyacanthus; Pseudomedaeus agassizii; Teleophrys pococki; Micropanope nuttingi;</t>
    </r>
    <r>
      <rPr>
        <sz val="12"/>
        <color rgb="FF000000"/>
        <rFont val="Calibri"/>
        <family val="2"/>
        <scheme val="minor"/>
      </rPr>
      <t xml:space="preserve"> Stenothoidae; Melitidae</t>
    </r>
  </si>
  <si>
    <t>Commercial fishery common name</t>
  </si>
  <si>
    <t>AMBERJACK</t>
  </si>
  <si>
    <t>AMBERJACK GREATER</t>
  </si>
  <si>
    <t>AMBERJACK LESSER</t>
  </si>
  <si>
    <t>BARRACUDAS</t>
  </si>
  <si>
    <t>BASS LONGTAIL</t>
  </si>
  <si>
    <t>BONITO ATLANTIC</t>
  </si>
  <si>
    <t>BUTTERFISH</t>
  </si>
  <si>
    <t>CATFISH BLUE</t>
  </si>
  <si>
    <t>CATFISH CHANNEL</t>
  </si>
  <si>
    <t>CATFISH FLATHEAD</t>
  </si>
  <si>
    <t>CATFISHES &amp; BULLHEADS</t>
  </si>
  <si>
    <t>COBIA</t>
  </si>
  <si>
    <t>CROAKER ATLANTIC</t>
  </si>
  <si>
    <t>DRUM BLACK</t>
  </si>
  <si>
    <t>DRUM RED</t>
  </si>
  <si>
    <t>DRUMS</t>
  </si>
  <si>
    <t>FLOUNDER SOUTHERN</t>
  </si>
  <si>
    <t>GROUPER BLACK</t>
  </si>
  <si>
    <t>GROUPER GOLIATH</t>
  </si>
  <si>
    <t>GROUPER MARBLED</t>
  </si>
  <si>
    <t>GROUPER RED</t>
  </si>
  <si>
    <t>GROUPER SNOWY</t>
  </si>
  <si>
    <t>GROUPER WARSAW</t>
  </si>
  <si>
    <t>GROUPER YELLOWEDGE</t>
  </si>
  <si>
    <t>GROUPER YELLOWFIN</t>
  </si>
  <si>
    <t>GROUPER YELLOWMOUTH</t>
  </si>
  <si>
    <t>GROUPERS</t>
  </si>
  <si>
    <t>GRUNTS</t>
  </si>
  <si>
    <t>HAKE ATLANTIC RED WHITE</t>
  </si>
  <si>
    <t>HERRINGS</t>
  </si>
  <si>
    <t>HIND RED</t>
  </si>
  <si>
    <t>HIND ROCK</t>
  </si>
  <si>
    <t>HIND SPECKLED</t>
  </si>
  <si>
    <t>JACK ALMACO</t>
  </si>
  <si>
    <t>JACK BAR</t>
  </si>
  <si>
    <t>JACK BLACK</t>
  </si>
  <si>
    <t>JACK CREVALLE</t>
  </si>
  <si>
    <t>JACK HORSE-EYE</t>
  </si>
  <si>
    <t>JACKS</t>
  </si>
  <si>
    <t>LADYFISH</t>
  </si>
  <si>
    <t>LEATHERJACKETS</t>
  </si>
  <si>
    <t>MACKEREL KING</t>
  </si>
  <si>
    <t>MACKEREL KING AND CERO</t>
  </si>
  <si>
    <t>MACKEREL SCOMBER</t>
  </si>
  <si>
    <t>MACKEREL SPANISH</t>
  </si>
  <si>
    <t>MENHADEN</t>
  </si>
  <si>
    <t>menhaden</t>
  </si>
  <si>
    <t>MULLET STRIPED LIZA</t>
  </si>
  <si>
    <t>mullet</t>
  </si>
  <si>
    <t>MULLET WHITE</t>
  </si>
  <si>
    <t>MULLETS</t>
  </si>
  <si>
    <t>POMPANO AFRICAN</t>
  </si>
  <si>
    <t>POMPANO FLORIDA</t>
  </si>
  <si>
    <t>PORGY JOLTHEAD</t>
  </si>
  <si>
    <t>PORGY KNOBBED</t>
  </si>
  <si>
    <t>PORGY RED</t>
  </si>
  <si>
    <t>PORGY WHITEBONE</t>
  </si>
  <si>
    <t>RAY BAT</t>
  </si>
  <si>
    <t>skates and rays</t>
  </si>
  <si>
    <t>RAY STINGRAYS</t>
  </si>
  <si>
    <t>RAYS</t>
  </si>
  <si>
    <t>RUNNER BLUE</t>
  </si>
  <si>
    <t>RUNNER RAINBOW</t>
  </si>
  <si>
    <t>SCAMP</t>
  </si>
  <si>
    <t>SCORPIONFISH SPINYCHEEK</t>
  </si>
  <si>
    <t>SCORPIONFISH SPOTTED</t>
  </si>
  <si>
    <t>SCORPIONFISHES</t>
  </si>
  <si>
    <t>SEATROUT SAND</t>
  </si>
  <si>
    <t>SEATROUT SPOTTED</t>
  </si>
  <si>
    <t>SHAD AMERICAN</t>
  </si>
  <si>
    <t>SHAD GIZZARD</t>
  </si>
  <si>
    <t>SHAD THREADFIN</t>
  </si>
  <si>
    <t>SHARK ATLANTIC SHARPNOSE</t>
  </si>
  <si>
    <t>SHARK BLACKTIP</t>
  </si>
  <si>
    <t>SHARK BULL</t>
  </si>
  <si>
    <t>SHARK DUSKY</t>
  </si>
  <si>
    <t>SHARK FINETOOTH</t>
  </si>
  <si>
    <t>SHARK LEMON</t>
  </si>
  <si>
    <t>SHARK LONGFIN MAKO</t>
  </si>
  <si>
    <t>SHARK PORBEAGLE</t>
  </si>
  <si>
    <t>SHARK SANDBAR</t>
  </si>
  <si>
    <t>SHARK SHORTFIN MAKO</t>
  </si>
  <si>
    <t>SHARK SPINNER</t>
  </si>
  <si>
    <t>SHARK THRESHER</t>
  </si>
  <si>
    <t>SHARK TIGER</t>
  </si>
  <si>
    <t>SHARKS</t>
  </si>
  <si>
    <t>SHEEPSHEAD</t>
  </si>
  <si>
    <t>SNAPPER BLACK</t>
  </si>
  <si>
    <t>SNAPPER BLACKFIN</t>
  </si>
  <si>
    <t>SNAPPER CUBERA</t>
  </si>
  <si>
    <t>SNAPPER DOG</t>
  </si>
  <si>
    <t>SNAPPER GRAY</t>
  </si>
  <si>
    <t>SNAPPER LANE</t>
  </si>
  <si>
    <t>SNAPPER MAHOGANY</t>
  </si>
  <si>
    <t>SNAPPER MUTTON</t>
  </si>
  <si>
    <t>SNAPPER QUEEN</t>
  </si>
  <si>
    <t>SNAPPER RED</t>
  </si>
  <si>
    <t>SNAPPER SILK</t>
  </si>
  <si>
    <t>SNAPPER VERMILION</t>
  </si>
  <si>
    <t>SNAPPER YELLOWTAIL</t>
  </si>
  <si>
    <t>SNAPPERS</t>
  </si>
  <si>
    <t>SPADEFISHES</t>
  </si>
  <si>
    <t>SPOT</t>
  </si>
  <si>
    <t>SQUIRRELFISHES</t>
  </si>
  <si>
    <t>TILEFISH BLACKLINE</t>
  </si>
  <si>
    <t>TILEFISH BLUELINE</t>
  </si>
  <si>
    <t>TILEFISH GOLDEN</t>
  </si>
  <si>
    <t>TILEFISH GOLDFACE</t>
  </si>
  <si>
    <t>TILEFISHES</t>
  </si>
  <si>
    <t>TRIGGERFISH GRAY</t>
  </si>
  <si>
    <t>TRIGGERFISH QUEEN</t>
  </si>
  <si>
    <t>TRIPLETAIL</t>
  </si>
  <si>
    <t>ignore</t>
  </si>
  <si>
    <t>WENCHMAN</t>
  </si>
  <si>
    <t>CRAB, BLUE</t>
  </si>
  <si>
    <t>CRAB, BLUE, PEELER</t>
  </si>
  <si>
    <t>CRAB, BLUE, SOFT</t>
  </si>
  <si>
    <t>SHRIMP, BROWN</t>
  </si>
  <si>
    <t>SHRIMP, PINK</t>
  </si>
  <si>
    <t>SHRIMP, WHITE</t>
  </si>
  <si>
    <t>Data set</t>
  </si>
  <si>
    <t>Source</t>
  </si>
  <si>
    <t>Date accessed</t>
  </si>
  <si>
    <t>1981-2003</t>
  </si>
  <si>
    <t>http://www.st.nmfs.noaa.gov/st1/recreational/MRFSS_Estimate_Data/Atlantic_Gulf/CSV/</t>
  </si>
  <si>
    <t>2004-2009</t>
  </si>
  <si>
    <t>http://www.st.nmfs.noaa.gov/st1/recreational/MRIP_Estimate_Data/</t>
  </si>
  <si>
    <t>20-200m</t>
  </si>
  <si>
    <t>Weight (kg)</t>
  </si>
  <si>
    <t>Marine mammals</t>
  </si>
  <si>
    <t>Bottlenose dolphin</t>
  </si>
  <si>
    <t>Short-finned pilot whale</t>
  </si>
  <si>
    <r>
      <t xml:space="preserve">Globicephala </t>
    </r>
    <r>
      <rPr>
        <sz val="11"/>
        <color theme="1"/>
        <rFont val="Calibri"/>
        <family val="2"/>
        <scheme val="minor"/>
      </rPr>
      <t>spp.</t>
    </r>
  </si>
  <si>
    <t>Risso's dolphin</t>
  </si>
  <si>
    <t>Spotted dolphin (West N. Atlantic)</t>
  </si>
  <si>
    <t>Spotted dolphin pantropical (West N. Atlantic)</t>
  </si>
  <si>
    <t>Stenella attenuata</t>
  </si>
  <si>
    <t>NOAA Fisheries Office of Protected Resources: www. nmfs.noaa.gov/pr/species/mammals/cetaceans/spotteddolphin_pantropical.htm</t>
  </si>
  <si>
    <t>Marine turtles</t>
  </si>
  <si>
    <t>Green sea turtle</t>
  </si>
  <si>
    <t>Kemp Ridley's sea turtle</t>
  </si>
  <si>
    <t>Lepidochelys kempii</t>
  </si>
  <si>
    <t>Loggerhead sea turtle</t>
  </si>
  <si>
    <t>Leatherback sea turtle</t>
  </si>
  <si>
    <t>Cornell Ornithological Lab: http://www.allaboutbirds.org/guide/</t>
  </si>
  <si>
    <t>Thalasseus maximus</t>
  </si>
  <si>
    <t>Sternula antillarum</t>
  </si>
  <si>
    <t>Pelecanus occidentalis</t>
  </si>
  <si>
    <t>Indiviidual WWT (kg)</t>
  </si>
  <si>
    <t>WWT refrence</t>
  </si>
  <si>
    <t>Representative taxon (taxa)</t>
  </si>
  <si>
    <r>
      <t xml:space="preserve">Discard mortality fraction applied to </t>
    </r>
    <r>
      <rPr>
        <i/>
        <sz val="11"/>
        <color theme="1"/>
        <rFont val="Calibri"/>
        <family val="2"/>
        <scheme val="minor"/>
      </rPr>
      <t>B2</t>
    </r>
    <r>
      <rPr>
        <sz val="11"/>
        <color theme="1"/>
        <rFont val="Calibri"/>
        <family val="2"/>
        <scheme val="minor"/>
      </rPr>
      <t xml:space="preserve"> fish</t>
    </r>
  </si>
  <si>
    <t>Source note</t>
  </si>
  <si>
    <t>Greater amberjack, Adult Mackerels</t>
  </si>
  <si>
    <t>(value for King mackerel)</t>
  </si>
  <si>
    <t>Red Drum</t>
  </si>
  <si>
    <t>(value from South Atlantic)</t>
  </si>
  <si>
    <t>Spotted seatrout</t>
  </si>
  <si>
    <t>(average of treble and single hook mortality)</t>
  </si>
  <si>
    <t>Black drum</t>
  </si>
  <si>
    <t>Used value from red drum</t>
  </si>
  <si>
    <t>Coastal pelagic piscivores</t>
  </si>
  <si>
    <t>Used value from mackerels</t>
  </si>
  <si>
    <t>Flounders</t>
  </si>
  <si>
    <t>mullets</t>
  </si>
  <si>
    <t>Mullets</t>
  </si>
  <si>
    <t>(for grey mullet hook and line fishery in Australia)</t>
  </si>
  <si>
    <t>snappers_groupers</t>
  </si>
  <si>
    <t>Red snapper</t>
  </si>
  <si>
    <t>All other groups</t>
  </si>
  <si>
    <t>Small coastal sharks</t>
  </si>
  <si>
    <t>Feces fate</t>
  </si>
  <si>
    <t>Senescence</t>
  </si>
  <si>
    <r>
      <t>NH</t>
    </r>
    <r>
      <rPr>
        <vertAlign val="subscript"/>
        <sz val="11"/>
        <color theme="1"/>
        <rFont val="Calibri"/>
        <family val="2"/>
        <scheme val="minor"/>
      </rPr>
      <t>4</t>
    </r>
    <r>
      <rPr>
        <vertAlign val="superscript"/>
        <sz val="11"/>
        <color theme="1"/>
        <rFont val="Calibri"/>
        <family val="2"/>
        <scheme val="minor"/>
      </rPr>
      <t>+</t>
    </r>
    <r>
      <rPr>
        <sz val="11"/>
        <color theme="1"/>
        <rFont val="Calibri"/>
        <family val="2"/>
        <scheme val="minor"/>
      </rPr>
      <t xml:space="preserve"> excretion</t>
    </r>
  </si>
  <si>
    <t>Surface</t>
  </si>
  <si>
    <t>Sub-surface</t>
  </si>
  <si>
    <t>Subsurface</t>
  </si>
  <si>
    <t>seagrass and macroalgae</t>
  </si>
  <si>
    <t>microzoo</t>
  </si>
  <si>
    <t>Large copepods</t>
  </si>
  <si>
    <t>Snapper/grouper</t>
  </si>
  <si>
    <t>pelagic detritus</t>
  </si>
  <si>
    <t>fishery offal</t>
  </si>
  <si>
    <t>benthic detritus</t>
  </si>
  <si>
    <t>recreational fisheries</t>
  </si>
  <si>
    <t>commercial fisheries</t>
  </si>
  <si>
    <t xml:space="preserve">Taxonomic groups </t>
  </si>
  <si>
    <t>Not specified</t>
  </si>
  <si>
    <t>euphausiid protozoa and shrimp</t>
  </si>
  <si>
    <t>amphipods, ascidian larvae, barnacle cypprid, barnacle nauplii, cladocerans, crab juveniles, crab megalope, crab pre-zoea, decapod shrimp lavae, enchinoderms, gastropods, gastropod larvae, mysid (larvae, zoea, shrimp), other decapods (larvae, post-larvae, adult), ostracods, phoronids, polychaetes, polychaetes trochophores, pteropods, stomatopod larvae, tunicate larvae</t>
  </si>
  <si>
    <t>Penaeus setiferus, P. aztecus, P. duorarum</t>
  </si>
  <si>
    <t>salps, doliolids, larvaceans</t>
  </si>
  <si>
    <t>siphonophores (physonectae, cystonectae, calycophora), hydromedusae, ctenophores (larvae and juvenile), chaetognaths, scyphomedusae (juvenile), Cnidaria ephyra</t>
  </si>
  <si>
    <t>Estimated by the model</t>
  </si>
  <si>
    <t>Mugil cephalus, M. curema</t>
  </si>
  <si>
    <t>Scianeops oscellata</t>
  </si>
  <si>
    <t>snapper/grouper</t>
  </si>
  <si>
    <t>Rhizoprionodon terraenovae, Carcharhinus acronotus, C. isodon, Sphyrna tiburo, Squatina demeril</t>
  </si>
  <si>
    <t>Sphyraena barracuda, S. borealis, S. guachancho, S. picudilla, Paranthias furcifer</t>
  </si>
  <si>
    <t>cephalopods</t>
  </si>
  <si>
    <t>Callinectes sapidus, C. similis</t>
  </si>
  <si>
    <t>Amusium papyraceum, Crassostrea virginica</t>
  </si>
  <si>
    <r>
      <t xml:space="preserve">Thalasseus maximus, </t>
    </r>
    <r>
      <rPr>
        <i/>
        <sz val="11"/>
        <color rgb="FF000000"/>
        <rFont val="Calibri"/>
        <family val="2"/>
        <scheme val="minor"/>
      </rPr>
      <t>Sternula antillarum</t>
    </r>
  </si>
  <si>
    <r>
      <t>dinoflagellates (</t>
    </r>
    <r>
      <rPr>
        <i/>
        <sz val="11"/>
        <color theme="1"/>
        <rFont val="Calibri"/>
        <family val="2"/>
        <scheme val="minor"/>
      </rPr>
      <t>Ceratium</t>
    </r>
    <r>
      <rPr>
        <sz val="11"/>
        <color theme="1"/>
        <rFont val="Calibri"/>
        <family val="2"/>
        <scheme val="minor"/>
      </rPr>
      <t xml:space="preserve"> sp. </t>
    </r>
    <r>
      <rPr>
        <i/>
        <sz val="11"/>
        <color theme="1"/>
        <rFont val="Calibri"/>
        <family val="2"/>
        <scheme val="minor"/>
      </rPr>
      <t>Dinophysis</t>
    </r>
    <r>
      <rPr>
        <sz val="11"/>
        <color theme="1"/>
        <rFont val="Calibri"/>
        <family val="2"/>
        <scheme val="minor"/>
      </rPr>
      <t xml:space="preserve"> sp., </t>
    </r>
    <r>
      <rPr>
        <i/>
        <sz val="11"/>
        <color theme="1"/>
        <rFont val="Calibri"/>
        <family val="2"/>
        <scheme val="minor"/>
      </rPr>
      <t>Gyrodinium</t>
    </r>
    <r>
      <rPr>
        <sz val="11"/>
        <color theme="1"/>
        <rFont val="Calibri"/>
        <family val="2"/>
        <scheme val="minor"/>
      </rPr>
      <t xml:space="preserve"> sp., </t>
    </r>
    <r>
      <rPr>
        <i/>
        <sz val="11"/>
        <color theme="1"/>
        <rFont val="Calibri"/>
        <family val="2"/>
        <scheme val="minor"/>
      </rPr>
      <t>Pe</t>
    </r>
    <r>
      <rPr>
        <sz val="11"/>
        <color theme="1"/>
        <rFont val="Calibri"/>
        <family val="2"/>
        <scheme val="minor"/>
      </rPr>
      <t xml:space="preserve">rdinium sp. </t>
    </r>
    <r>
      <rPr>
        <i/>
        <sz val="11"/>
        <color theme="1"/>
        <rFont val="Calibri"/>
        <family val="2"/>
        <scheme val="minor"/>
      </rPr>
      <t>Prorocentrum</t>
    </r>
    <r>
      <rPr>
        <sz val="11"/>
        <color theme="1"/>
        <rFont val="Calibri"/>
        <family val="2"/>
        <scheme val="minor"/>
      </rPr>
      <t xml:space="preserve"> sp., </t>
    </r>
    <r>
      <rPr>
        <i/>
        <sz val="11"/>
        <color theme="1"/>
        <rFont val="Calibri"/>
        <family val="2"/>
        <scheme val="minor"/>
      </rPr>
      <t>Strombidium</t>
    </r>
    <r>
      <rPr>
        <sz val="11"/>
        <color theme="1"/>
        <rFont val="Calibri"/>
        <family val="2"/>
        <scheme val="minor"/>
      </rPr>
      <t xml:space="preserve"> sp.), tintinnids (</t>
    </r>
    <r>
      <rPr>
        <i/>
        <sz val="11"/>
        <color theme="1"/>
        <rFont val="Calibri"/>
        <family val="2"/>
        <scheme val="minor"/>
      </rPr>
      <t>Fa</t>
    </r>
    <r>
      <rPr>
        <sz val="11"/>
        <color theme="1"/>
        <rFont val="Calibri"/>
        <family val="2"/>
        <scheme val="minor"/>
      </rPr>
      <t>v</t>
    </r>
    <r>
      <rPr>
        <i/>
        <sz val="11"/>
        <color theme="1"/>
        <rFont val="Calibri"/>
        <family val="2"/>
        <scheme val="minor"/>
      </rPr>
      <t>ella</t>
    </r>
    <r>
      <rPr>
        <sz val="11"/>
        <color theme="1"/>
        <rFont val="Calibri"/>
        <family val="2"/>
        <scheme val="minor"/>
      </rPr>
      <t xml:space="preserve"> sp., </t>
    </r>
    <r>
      <rPr>
        <i/>
        <sz val="11"/>
        <color theme="1"/>
        <rFont val="Calibri"/>
        <family val="2"/>
        <scheme val="minor"/>
      </rPr>
      <t>Codonella</t>
    </r>
    <r>
      <rPr>
        <sz val="11"/>
        <color theme="1"/>
        <rFont val="Calibri"/>
        <family val="2"/>
        <scheme val="minor"/>
      </rPr>
      <t xml:space="preserve"> sp., </t>
    </r>
    <r>
      <rPr>
        <i/>
        <sz val="11"/>
        <color theme="1"/>
        <rFont val="Calibri"/>
        <family val="2"/>
        <scheme val="minor"/>
      </rPr>
      <t>Hel</t>
    </r>
    <r>
      <rPr>
        <sz val="11"/>
        <color theme="1"/>
        <rFont val="Calibri"/>
        <family val="2"/>
        <scheme val="minor"/>
      </rPr>
      <t>icostomella sp.), and other cyclotrich and oligotrich ciliates</t>
    </r>
  </si>
  <si>
    <r>
      <t xml:space="preserve">calanoid copepods, </t>
    </r>
    <r>
      <rPr>
        <i/>
        <sz val="11"/>
        <color theme="1"/>
        <rFont val="Calibri"/>
        <family val="2"/>
        <scheme val="minor"/>
      </rPr>
      <t>Acartia</t>
    </r>
    <r>
      <rPr>
        <sz val="11"/>
        <color theme="1"/>
        <rFont val="Calibri"/>
        <family val="2"/>
        <scheme val="minor"/>
      </rPr>
      <t xml:space="preserve"> sp., </t>
    </r>
    <r>
      <rPr>
        <i/>
        <sz val="11"/>
        <color theme="1"/>
        <rFont val="Calibri"/>
        <family val="2"/>
        <scheme val="minor"/>
      </rPr>
      <t>Centropages</t>
    </r>
    <r>
      <rPr>
        <sz val="11"/>
        <color theme="1"/>
        <rFont val="Calibri"/>
        <family val="2"/>
        <scheme val="minor"/>
      </rPr>
      <t xml:space="preserve"> sp. </t>
    </r>
    <r>
      <rPr>
        <i/>
        <sz val="11"/>
        <color theme="1"/>
        <rFont val="Calibri"/>
        <family val="2"/>
        <scheme val="minor"/>
      </rPr>
      <t>Microstella</t>
    </r>
    <r>
      <rPr>
        <sz val="11"/>
        <color theme="1"/>
        <rFont val="Calibri"/>
        <family val="2"/>
        <scheme val="minor"/>
      </rPr>
      <t xml:space="preserve"> sp. </t>
    </r>
    <r>
      <rPr>
        <i/>
        <sz val="11"/>
        <color theme="1"/>
        <rFont val="Calibri"/>
        <family val="2"/>
        <scheme val="minor"/>
      </rPr>
      <t>Paracalanus</t>
    </r>
    <r>
      <rPr>
        <sz val="11"/>
        <color theme="1"/>
        <rFont val="Calibri"/>
        <family val="2"/>
        <scheme val="minor"/>
      </rPr>
      <t xml:space="preserve"> sp., </t>
    </r>
    <r>
      <rPr>
        <i/>
        <sz val="11"/>
        <color theme="1"/>
        <rFont val="Calibri"/>
        <family val="2"/>
        <scheme val="minor"/>
      </rPr>
      <t>Temora</t>
    </r>
    <r>
      <rPr>
        <sz val="11"/>
        <color theme="1"/>
        <rFont val="Calibri"/>
        <family val="2"/>
        <scheme val="minor"/>
      </rPr>
      <t xml:space="preserve"> sp. </t>
    </r>
  </si>
  <si>
    <r>
      <t>Aurelia</t>
    </r>
    <r>
      <rPr>
        <sz val="11"/>
        <color theme="1"/>
        <rFont val="Calibri"/>
        <family val="2"/>
        <scheme val="minor"/>
      </rPr>
      <t xml:space="preserve"> spp., </t>
    </r>
    <r>
      <rPr>
        <i/>
        <sz val="11"/>
        <color theme="1"/>
        <rFont val="Calibri"/>
        <family val="2"/>
        <scheme val="minor"/>
      </rPr>
      <t>Chrysaora</t>
    </r>
    <r>
      <rPr>
        <sz val="11"/>
        <color theme="1"/>
        <rFont val="Calibri"/>
        <family val="2"/>
        <scheme val="minor"/>
      </rPr>
      <t xml:space="preserve"> sp.</t>
    </r>
  </si>
  <si>
    <r>
      <t xml:space="preserve">Anchoa </t>
    </r>
    <r>
      <rPr>
        <sz val="11"/>
        <color theme="1"/>
        <rFont val="Calibri"/>
        <family val="2"/>
        <scheme val="minor"/>
      </rPr>
      <t>sp</t>
    </r>
    <r>
      <rPr>
        <i/>
        <sz val="11"/>
        <color theme="1"/>
        <rFont val="Calibri"/>
        <family val="2"/>
        <scheme val="minor"/>
      </rPr>
      <t xml:space="preserve">., A. cubana, A. hepsetus, A. lamproaenia, A. lyolepis, A. mitchilli, A. nasuta, Engraulis eurystole, Anchoviella perfasciata, </t>
    </r>
    <r>
      <rPr>
        <sz val="11"/>
        <color theme="1"/>
        <rFont val="Calibri"/>
        <family val="2"/>
        <scheme val="minor"/>
      </rPr>
      <t>Engraulidae</t>
    </r>
  </si>
  <si>
    <r>
      <t>Alosa alabamae, A. chrysochloris, Dorosoma sp., D. cepedianum, D. petenense, Ertumeus teres, Harengula jaguana, Jenkinsia lamprotaenia, Opistonema ogilnum, Sardinella aurita, S. brasiliensis</t>
    </r>
    <r>
      <rPr>
        <sz val="11"/>
        <color theme="1"/>
        <rFont val="Calibri"/>
        <family val="2"/>
        <scheme val="minor"/>
      </rPr>
      <t>, and Clupedidae</t>
    </r>
  </si>
  <si>
    <r>
      <t>Brevoortia</t>
    </r>
    <r>
      <rPr>
        <sz val="11"/>
        <color theme="1"/>
        <rFont val="Calibri"/>
        <family val="2"/>
        <scheme val="minor"/>
      </rPr>
      <t xml:space="preserve"> sp., </t>
    </r>
    <r>
      <rPr>
        <i/>
        <sz val="11"/>
        <color theme="1"/>
        <rFont val="Calibri"/>
        <family val="2"/>
        <scheme val="minor"/>
      </rPr>
      <t>B. patronus, B. gunteri</t>
    </r>
  </si>
  <si>
    <r>
      <t xml:space="preserve">Lutjanus </t>
    </r>
    <r>
      <rPr>
        <sz val="11"/>
        <color theme="1"/>
        <rFont val="Calibri"/>
        <family val="2"/>
        <scheme val="minor"/>
      </rPr>
      <t>sp</t>
    </r>
    <r>
      <rPr>
        <i/>
        <sz val="11"/>
        <color theme="1"/>
        <rFont val="Calibri"/>
        <family val="2"/>
        <scheme val="minor"/>
      </rPr>
      <t xml:space="preserve">., L. apodus, L. buccanella, L. campechanus, L. griseus, L. synagris, L. vivanus, Lutjanidae, Epinephelus </t>
    </r>
    <r>
      <rPr>
        <sz val="11"/>
        <color theme="1"/>
        <rFont val="Calibri"/>
        <family val="2"/>
        <scheme val="minor"/>
      </rPr>
      <t>sp.</t>
    </r>
    <r>
      <rPr>
        <i/>
        <sz val="11"/>
        <color theme="1"/>
        <rFont val="Calibri"/>
        <family val="2"/>
        <scheme val="minor"/>
      </rPr>
      <t xml:space="preserve">, E. adscensionis, E. drummonhayi, E. flavolimbatus, E. guttatus, E. itajara, E. morio, E. nigritus, E. niveatus, Etelis oculatus, Mycteroperca bonaci, M. interstitialis, M. microlepis, M. phenax, Ocyurus chrysurus, Pristipomoides, P. aquilonaris, Rhomboplites aurorubens, </t>
    </r>
    <r>
      <rPr>
        <sz val="11"/>
        <color theme="1"/>
        <rFont val="Calibri"/>
        <family val="2"/>
        <scheme val="minor"/>
      </rPr>
      <t>Serranidae</t>
    </r>
  </si>
  <si>
    <r>
      <t xml:space="preserve">Aetobatus narinari, Anacanthobatis longirostris, Breviraja spinosa, Dasyatis </t>
    </r>
    <r>
      <rPr>
        <sz val="11"/>
        <color theme="1"/>
        <rFont val="Calibri"/>
        <family val="2"/>
        <scheme val="minor"/>
      </rPr>
      <t>sp.</t>
    </r>
    <r>
      <rPr>
        <i/>
        <sz val="11"/>
        <color theme="1"/>
        <rFont val="Calibri"/>
        <family val="2"/>
        <scheme val="minor"/>
      </rPr>
      <t xml:space="preserve">, D. americana, D. centroura, D. say, D. sabina, Gymnura altavela, G. micrura, Mobula hypostoma, Myliobatis freminvillii, M. boodei, Narcine </t>
    </r>
    <r>
      <rPr>
        <sz val="11"/>
        <color theme="1"/>
        <rFont val="Calibri"/>
        <family val="2"/>
        <scheme val="minor"/>
      </rPr>
      <t>sp</t>
    </r>
    <r>
      <rPr>
        <i/>
        <sz val="11"/>
        <color theme="1"/>
        <rFont val="Calibri"/>
        <family val="2"/>
        <scheme val="minor"/>
      </rPr>
      <t>. N. brasiliensis, Rhinoptera bonasus, R. brasiliensis, Raja ackleyi, R. eglanteria, R. garricki, R. olseni, R. oregoni, R. teevani, R. texana, Rhinobatos lentiginosus, Springeria folirostris, Torpedo nobiliana, Urolophus jamaicencis</t>
    </r>
  </si>
  <si>
    <r>
      <t xml:space="preserve">Argyopelecus aculeatus, Diaphus </t>
    </r>
    <r>
      <rPr>
        <sz val="11"/>
        <color theme="1"/>
        <rFont val="Calibri"/>
        <family val="2"/>
        <scheme val="minor"/>
      </rPr>
      <t>sp</t>
    </r>
    <r>
      <rPr>
        <i/>
        <sz val="11"/>
        <color theme="1"/>
        <rFont val="Calibri"/>
        <family val="2"/>
        <scheme val="minor"/>
      </rPr>
      <t>., D. splendidus, Gonostoma elongatum</t>
    </r>
    <r>
      <rPr>
        <sz val="11"/>
        <color theme="1"/>
        <rFont val="Calibri"/>
        <family val="2"/>
        <scheme val="minor"/>
      </rPr>
      <t xml:space="preserve">, Gonostomatidae, </t>
    </r>
    <r>
      <rPr>
        <i/>
        <sz val="11"/>
        <color theme="1"/>
        <rFont val="Calibri"/>
        <family val="2"/>
        <scheme val="minor"/>
      </rPr>
      <t>Lampanyctus</t>
    </r>
    <r>
      <rPr>
        <sz val="11"/>
        <color theme="1"/>
        <rFont val="Calibri"/>
        <family val="2"/>
        <scheme val="minor"/>
      </rPr>
      <t xml:space="preserve"> sp., </t>
    </r>
    <r>
      <rPr>
        <i/>
        <sz val="11"/>
        <color theme="1"/>
        <rFont val="Calibri"/>
        <family val="2"/>
        <scheme val="minor"/>
      </rPr>
      <t>Maurolicus</t>
    </r>
    <r>
      <rPr>
        <sz val="11"/>
        <color theme="1"/>
        <rFont val="Calibri"/>
        <family val="2"/>
        <scheme val="minor"/>
      </rPr>
      <t xml:space="preserve"> sp., </t>
    </r>
    <r>
      <rPr>
        <i/>
        <sz val="11"/>
        <color theme="1"/>
        <rFont val="Calibri"/>
        <family val="2"/>
        <scheme val="minor"/>
      </rPr>
      <t xml:space="preserve">M. muelleri, </t>
    </r>
    <r>
      <rPr>
        <sz val="11"/>
        <color theme="1"/>
        <rFont val="Calibri"/>
        <family val="2"/>
        <scheme val="minor"/>
      </rPr>
      <t>Myctophidae</t>
    </r>
    <r>
      <rPr>
        <i/>
        <sz val="11"/>
        <color theme="1"/>
        <rFont val="Calibri"/>
        <family val="2"/>
        <scheme val="minor"/>
      </rPr>
      <t>, Neoscopelus microchir, Pollichthys mauli, Polymetme corythaeola</t>
    </r>
    <r>
      <rPr>
        <sz val="11"/>
        <color theme="1"/>
        <rFont val="Calibri"/>
        <family val="2"/>
        <scheme val="minor"/>
      </rPr>
      <t>, Sternoptychidae</t>
    </r>
  </si>
  <si>
    <r>
      <t xml:space="preserve">Paralichthys </t>
    </r>
    <r>
      <rPr>
        <sz val="11"/>
        <color theme="1"/>
        <rFont val="Calibri"/>
        <family val="2"/>
        <scheme val="minor"/>
      </rPr>
      <t>sp.</t>
    </r>
    <r>
      <rPr>
        <i/>
        <sz val="11"/>
        <color theme="1"/>
        <rFont val="Calibri"/>
        <family val="2"/>
        <scheme val="minor"/>
      </rPr>
      <t xml:space="preserve"> P. tropicus, P. albigutta, P. dentatus, P. lethostigma, P. squamlientus</t>
    </r>
  </si>
  <si>
    <r>
      <t xml:space="preserve">Carcharhinus  </t>
    </r>
    <r>
      <rPr>
        <sz val="11"/>
        <color theme="1"/>
        <rFont val="Calibri"/>
        <family val="2"/>
        <scheme val="minor"/>
      </rPr>
      <t>sp</t>
    </r>
    <r>
      <rPr>
        <i/>
        <sz val="11"/>
        <color theme="1"/>
        <rFont val="Calibri"/>
        <family val="2"/>
        <scheme val="minor"/>
      </rPr>
      <t>. C. limbatus, C. leucas, C. brevipinna, C. falciformis, C. obscurus, C. plumbeus, C. signatus, Ginglymostoma cirratum, Sphyrna lewini</t>
    </r>
  </si>
  <si>
    <r>
      <t xml:space="preserve">Alopias superciliosus, Etmopterus </t>
    </r>
    <r>
      <rPr>
        <sz val="11"/>
        <color theme="1"/>
        <rFont val="Calibri"/>
        <family val="2"/>
        <scheme val="minor"/>
      </rPr>
      <t>sp.</t>
    </r>
    <r>
      <rPr>
        <i/>
        <sz val="11"/>
        <color theme="1"/>
        <rFont val="Calibri"/>
        <family val="2"/>
        <scheme val="minor"/>
      </rPr>
      <t xml:space="preserve">, E. schultzi, E. virens, Heptranchias perlo, Mustelus </t>
    </r>
    <r>
      <rPr>
        <sz val="11"/>
        <color theme="1"/>
        <rFont val="Calibri"/>
        <family val="2"/>
        <scheme val="minor"/>
      </rPr>
      <t>sp.</t>
    </r>
    <r>
      <rPr>
        <i/>
        <sz val="11"/>
        <color theme="1"/>
        <rFont val="Calibri"/>
        <family val="2"/>
        <scheme val="minor"/>
      </rPr>
      <t xml:space="preserve">, M. canis, M. norrisi, M. sinus mexicanus, </t>
    </r>
    <r>
      <rPr>
        <sz val="11"/>
        <color theme="1"/>
        <rFont val="Calibri"/>
        <family val="2"/>
        <scheme val="minor"/>
      </rPr>
      <t>Squalidae</t>
    </r>
    <r>
      <rPr>
        <i/>
        <sz val="11"/>
        <color theme="1"/>
        <rFont val="Calibri"/>
        <family val="2"/>
        <scheme val="minor"/>
      </rPr>
      <t>, Squalus cubensis</t>
    </r>
  </si>
  <si>
    <r>
      <t xml:space="preserve">Balistes capriscus, Eucinostomus </t>
    </r>
    <r>
      <rPr>
        <sz val="11"/>
        <color theme="1"/>
        <rFont val="Calibri"/>
        <family val="2"/>
        <scheme val="minor"/>
      </rPr>
      <t>sp</t>
    </r>
    <r>
      <rPr>
        <i/>
        <sz val="11"/>
        <color theme="1"/>
        <rFont val="Calibri"/>
        <family val="2"/>
        <scheme val="minor"/>
      </rPr>
      <t xml:space="preserve">. E. argenteus, E. gula, E. harengulus, E. melanopterus, G. cinereus, Calamus </t>
    </r>
    <r>
      <rPr>
        <sz val="11"/>
        <color theme="1"/>
        <rFont val="Calibri"/>
        <family val="2"/>
        <scheme val="minor"/>
      </rPr>
      <t>sp</t>
    </r>
    <r>
      <rPr>
        <i/>
        <sz val="11"/>
        <color theme="1"/>
        <rFont val="Calibri"/>
        <family val="2"/>
        <scheme val="minor"/>
      </rPr>
      <t xml:space="preserve">., C. arctifrons, C. bajonado, C. calamus, C. leucosteus, C. nodosus, C. penna, C. proridens, Pagrus pagrus, Diplectrum </t>
    </r>
    <r>
      <rPr>
        <sz val="11"/>
        <color theme="1"/>
        <rFont val="Calibri"/>
        <family val="2"/>
        <scheme val="minor"/>
      </rPr>
      <t>sp</t>
    </r>
    <r>
      <rPr>
        <i/>
        <sz val="11"/>
        <color theme="1"/>
        <rFont val="Calibri"/>
        <family val="2"/>
        <scheme val="minor"/>
      </rPr>
      <t xml:space="preserve">., D. bivittatum, D. formosum, Achosargus proatocephalus, Nemoerinthe beanorum, N. hemiingwayi, Phenacoscorpius nebris, Pontinus longispinis, P. rathbuni, Scropaena sp., S. agassizii, S. brasiliensis, S. calcarata, S. dispar, S. grandicornis, S. inermis, S. plumieri, Setarches guentheri, Aniostremus suinamensis, A. virginicus, Anthias nicholsi, Apogon </t>
    </r>
    <r>
      <rPr>
        <sz val="11"/>
        <color theme="1"/>
        <rFont val="Calibri"/>
        <family val="2"/>
        <scheme val="minor"/>
      </rPr>
      <t>sp.</t>
    </r>
    <r>
      <rPr>
        <i/>
        <sz val="11"/>
        <color theme="1"/>
        <rFont val="Calibri"/>
        <family val="2"/>
        <scheme val="minor"/>
      </rPr>
      <t xml:space="preserve"> A. affinis, A. alutus, A. aurolineatus, A. maculatus, A. pseudomaculatus, A. quadrisqumatus, </t>
    </r>
    <r>
      <rPr>
        <sz val="11"/>
        <color theme="1"/>
        <rFont val="Calibri"/>
        <family val="2"/>
        <scheme val="minor"/>
      </rPr>
      <t>Apogonidae</t>
    </r>
    <r>
      <rPr>
        <i/>
        <sz val="11"/>
        <color theme="1"/>
        <rFont val="Calibri"/>
        <family val="2"/>
        <scheme val="minor"/>
      </rPr>
      <t xml:space="preserve">, Astrapogon alutus, A. puncticulatus, Bathyanthias mexicana, Centropristis </t>
    </r>
    <r>
      <rPr>
        <sz val="11"/>
        <color theme="1"/>
        <rFont val="Calibri"/>
        <family val="2"/>
        <scheme val="minor"/>
      </rPr>
      <t>sp</t>
    </r>
    <r>
      <rPr>
        <i/>
        <sz val="11"/>
        <color theme="1"/>
        <rFont val="Calibri"/>
        <family val="2"/>
        <scheme val="minor"/>
      </rPr>
      <t xml:space="preserve">. C. ocyura, C. philadelphicus, C. striatus, Conodon nobilis, Corniger spinosus, Gonioplectrus hispanus, Haemulidae, Haemulon sp., H. aurolineatum, H. parrai, H. plumieri, H. sciurus, H. striatum, Hemanthias aureorubens, H. leptus, H. vivanus, Holanthias martinicensis, Holocentrus adscensionis, H. bullsi, H. coruscus, Hypoplectrus sp. H. puella, H. unicolor, Orthopristis chrysopterus, Schultzea beta, Serraniculus pumilio, Serranus </t>
    </r>
    <r>
      <rPr>
        <sz val="11"/>
        <color theme="1"/>
        <rFont val="Calibri"/>
        <family val="2"/>
        <scheme val="minor"/>
      </rPr>
      <t>sp</t>
    </r>
    <r>
      <rPr>
        <i/>
        <sz val="11"/>
        <color theme="1"/>
        <rFont val="Calibri"/>
        <family val="2"/>
        <scheme val="minor"/>
      </rPr>
      <t>., S. atrobranchus, S. notospilus, S. phoebe, S. subligarius, Chaetopidertus faber</t>
    </r>
  </si>
  <si>
    <r>
      <t xml:space="preserve">Caranx crysos, Menidia beryllina, M. menidia, M. peninsulae, Selar crumenopthalmus, Trachurus lathami, Argentina </t>
    </r>
    <r>
      <rPr>
        <sz val="11"/>
        <color theme="1"/>
        <rFont val="Calibri"/>
        <family val="2"/>
        <scheme val="minor"/>
      </rPr>
      <t>sp.</t>
    </r>
    <r>
      <rPr>
        <i/>
        <sz val="11"/>
        <color theme="1"/>
        <rFont val="Calibri"/>
        <family val="2"/>
        <scheme val="minor"/>
      </rPr>
      <t xml:space="preserve"> A. georgei, A. striata, Bregmaceros atlanticus, Cypseurus cyanopterus, C. exsiliens, C. furcatus, Elops sarus, Euleoptorhampus velox, Exocoetidae, Hermiramphus balao, H. brasiliensis, Hirundicthys affinis, rondeletii, Hyporhamphus unifasciatus, Kyposus sectratrix, Parexocoetus brachypterus, Prognichthys gibbifrons, Decpaterus punctatus</t>
    </r>
  </si>
  <si>
    <r>
      <t xml:space="preserve">Rachycentron canadum, Seriola dumerili, </t>
    </r>
    <r>
      <rPr>
        <sz val="11"/>
        <color theme="1"/>
        <rFont val="Calibri"/>
        <family val="2"/>
        <scheme val="minor"/>
      </rPr>
      <t>Carangidae</t>
    </r>
    <r>
      <rPr>
        <i/>
        <sz val="11"/>
        <color theme="1"/>
        <rFont val="Calibri"/>
        <family val="2"/>
        <scheme val="minor"/>
      </rPr>
      <t xml:space="preserve">, Caranx bartholomaei, C. hippos, Decapterus </t>
    </r>
    <r>
      <rPr>
        <sz val="11"/>
        <color theme="1"/>
        <rFont val="Calibri"/>
        <family val="2"/>
        <scheme val="minor"/>
      </rPr>
      <t>sp.</t>
    </r>
    <r>
      <rPr>
        <i/>
        <sz val="11"/>
        <color theme="1"/>
        <rFont val="Calibri"/>
        <family val="2"/>
        <scheme val="minor"/>
      </rPr>
      <t xml:space="preserve">, D. macarellus, Hemicaranx amblyrhnchus, Oligoplites saurus, Selene </t>
    </r>
    <r>
      <rPr>
        <sz val="11"/>
        <color theme="1"/>
        <rFont val="Calibri"/>
        <family val="2"/>
        <scheme val="minor"/>
      </rPr>
      <t>sp.</t>
    </r>
    <r>
      <rPr>
        <i/>
        <sz val="11"/>
        <color theme="1"/>
        <rFont val="Calibri"/>
        <family val="2"/>
        <scheme val="minor"/>
      </rPr>
      <t>, S. setapinnis, S. vomer, Seriola sp., S. fasciatia, S. rivoliana, Trachinotus carolinus, T. falcuatus, Uraspis secunda, Scomberomorus cavalla, Auxis rochei, Euthynnus alletteratus, Sarda sarda, Scomber japonicas, Scomber scombrus, Scomberomorus regalis, S. maculatus</t>
    </r>
  </si>
  <si>
    <r>
      <t xml:space="preserve">Micropogonias undulatus, Arius felis, Bagre marinus, Menticirhus americanus, M. littorialis, M. saxatilis, Stenotomus caprinus, Bregmaceros </t>
    </r>
    <r>
      <rPr>
        <sz val="11"/>
        <color theme="1"/>
        <rFont val="Calibri"/>
        <family val="2"/>
        <scheme val="minor"/>
      </rPr>
      <t>sp</t>
    </r>
    <r>
      <rPr>
        <i/>
        <sz val="11"/>
        <color theme="1"/>
        <rFont val="Calibri"/>
        <family val="2"/>
        <scheme val="minor"/>
      </rPr>
      <t xml:space="preserve">., B. cantori, Trichiurus lepturus, Lagodon rhomboides, Diplodus holbrooki, Cynoscion arenarius, C. nothus, Bairdella chrysoura, Antennarius ocellatus, A. radiosus, A. sanguineus, A. striatus, Ariomma bondi, A. melanum, A. regulus, Baridiella batabana, Bathygadus melanobranchus, Bellator sp. B. brachychir, B. egreta, B. militaris, Caelorinchus caribbaeus, C. occa, C. ventrilux, Dirbranchus atlanticus, Equetus </t>
    </r>
    <r>
      <rPr>
        <sz val="11"/>
        <color theme="1"/>
        <rFont val="Calibri"/>
        <family val="2"/>
        <scheme val="minor"/>
      </rPr>
      <t>sp</t>
    </r>
    <r>
      <rPr>
        <i/>
        <sz val="11"/>
        <color theme="1"/>
        <rFont val="Calibri"/>
        <family val="2"/>
        <scheme val="minor"/>
      </rPr>
      <t xml:space="preserve">., E. acuminatus, E. iwamotoi, E. lanceolatus, E. pulcher, E. punctatus, E. umbrosus, Gadella imberbis, Halieutichthys aculeatus, Hemilepidotus hemilepidotus, Laemonema barbatulum, Larimus fasciatus, Lepophidium </t>
    </r>
    <r>
      <rPr>
        <sz val="11"/>
        <color theme="1"/>
        <rFont val="Calibri"/>
        <family val="2"/>
        <scheme val="minor"/>
      </rPr>
      <t>sp.</t>
    </r>
    <r>
      <rPr>
        <i/>
        <sz val="11"/>
        <color theme="1"/>
        <rFont val="Calibri"/>
        <family val="2"/>
        <scheme val="minor"/>
      </rPr>
      <t xml:space="preserve">, L. brevibarbe, L. Jeanne, Lophiodes beroe, L. reticulatus, Lophius </t>
    </r>
    <r>
      <rPr>
        <sz val="11"/>
        <color theme="1"/>
        <rFont val="Calibri"/>
        <family val="2"/>
        <scheme val="minor"/>
      </rPr>
      <t>sp</t>
    </r>
    <r>
      <rPr>
        <i/>
        <sz val="11"/>
        <color theme="1"/>
        <rFont val="Calibri"/>
        <family val="2"/>
        <scheme val="minor"/>
      </rPr>
      <t xml:space="preserve">., L. americanus, L. gastrophysus, Macrouridae, Malacocephalus occidentalis, Merluccius albidus, Mulloidichthys martinicus, Mullus auratus, Nezumia cryano, Ogocephalus sp., O. corniger, O. declivirostris, O. nasutus, O. pantostictus, O. parvus, O. pumilus, O. radiatus, Ophidiidae, Ophidion sp., O. beani, O. grayi, O. holbrooki, O. marginatum, O. selenops, O. welshi, Opsanus beta, O. pardus, O. tau, Otophidium dormitator, O. omostigmum, Peristedion gracile, P. miniatum, Physiculus fulvus, Polydactylus octonemus, Polymixia lowei, Porichthys plectrodon, Prionotus </t>
    </r>
    <r>
      <rPr>
        <sz val="11"/>
        <color theme="1"/>
        <rFont val="Calibri"/>
        <family val="2"/>
        <scheme val="minor"/>
      </rPr>
      <t>sp</t>
    </r>
    <r>
      <rPr>
        <i/>
        <sz val="11"/>
        <color theme="1"/>
        <rFont val="Calibri"/>
        <family val="2"/>
        <scheme val="minor"/>
      </rPr>
      <t xml:space="preserve">., P. alatus., P. beanie, P. carolinus, P. longispinosus, P. martis, P. paralatus, P. punctatus, P. roseus, P. rubio, P. scitulus, P. stearnsi, P. tribulus, Pseudopeneus maculatus, Saruida </t>
    </r>
    <r>
      <rPr>
        <sz val="11"/>
        <color theme="1"/>
        <rFont val="Calibri"/>
        <family val="2"/>
        <scheme val="minor"/>
      </rPr>
      <t>sp</t>
    </r>
    <r>
      <rPr>
        <i/>
        <sz val="11"/>
        <color theme="1"/>
        <rFont val="Calibri"/>
        <family val="2"/>
        <scheme val="minor"/>
      </rPr>
      <t xml:space="preserve">., S. brasiliensis, S. caribbaea, S. normani, </t>
    </r>
    <r>
      <rPr>
        <sz val="11"/>
        <color theme="1"/>
        <rFont val="Calibri"/>
        <family val="2"/>
        <scheme val="minor"/>
      </rPr>
      <t>Sciaenidae</t>
    </r>
    <r>
      <rPr>
        <i/>
        <sz val="11"/>
        <color theme="1"/>
        <rFont val="Calibri"/>
        <family val="2"/>
        <scheme val="minor"/>
      </rPr>
      <t xml:space="preserve">, Steindachneria argentea, Stellifer lanceolatus, Synagrops </t>
    </r>
    <r>
      <rPr>
        <sz val="11"/>
        <color theme="1"/>
        <rFont val="Calibri"/>
        <family val="2"/>
        <scheme val="minor"/>
      </rPr>
      <t>sp.</t>
    </r>
    <r>
      <rPr>
        <i/>
        <sz val="11"/>
        <color theme="1"/>
        <rFont val="Calibri"/>
        <family val="2"/>
        <scheme val="minor"/>
      </rPr>
      <t xml:space="preserve">, S. bella, S. spinosa, </t>
    </r>
    <r>
      <rPr>
        <sz val="11"/>
        <color theme="1"/>
        <rFont val="Calibri"/>
        <family val="2"/>
        <scheme val="minor"/>
      </rPr>
      <t>Synodontidae</t>
    </r>
    <r>
      <rPr>
        <i/>
        <sz val="11"/>
        <color theme="1"/>
        <rFont val="Calibri"/>
        <family val="2"/>
        <scheme val="minor"/>
      </rPr>
      <t xml:space="preserve">, Synodus </t>
    </r>
    <r>
      <rPr>
        <sz val="11"/>
        <color theme="1"/>
        <rFont val="Calibri"/>
        <family val="2"/>
        <scheme val="minor"/>
      </rPr>
      <t>sp.</t>
    </r>
    <r>
      <rPr>
        <i/>
        <sz val="11"/>
        <color theme="1"/>
        <rFont val="Calibri"/>
        <family val="2"/>
        <scheme val="minor"/>
      </rPr>
      <t xml:space="preserve">, S. foetens, S. intermedius, S. poeyi, S. synodus, Trachinocephalus myops, Umbrina coroides, Upeneus sp., U. parvus, Urophycis </t>
    </r>
    <r>
      <rPr>
        <sz val="11"/>
        <color theme="1"/>
        <rFont val="Calibri"/>
        <family val="2"/>
        <scheme val="minor"/>
      </rPr>
      <t>sp</t>
    </r>
    <r>
      <rPr>
        <i/>
        <sz val="11"/>
        <color theme="1"/>
        <rFont val="Calibri"/>
        <family val="2"/>
        <scheme val="minor"/>
      </rPr>
      <t xml:space="preserve">., U. cirratus, U. earlli, U. floridanus, U. regia, Zalieutes mcgintyi, Symphurus </t>
    </r>
    <r>
      <rPr>
        <sz val="11"/>
        <color theme="1"/>
        <rFont val="Calibri"/>
        <family val="2"/>
        <scheme val="minor"/>
      </rPr>
      <t>sp</t>
    </r>
    <r>
      <rPr>
        <i/>
        <sz val="11"/>
        <color theme="1"/>
        <rFont val="Calibri"/>
        <family val="2"/>
        <scheme val="minor"/>
      </rPr>
      <t>., S. civitatum, S. diomedianus, S. minor, S. parvus, S. pelicanus, S. piger, S. plagiusa, S. pusillus, S. urospilus, Lieostomus xanthurus, Cynoscion nebulosus</t>
    </r>
  </si>
  <si>
    <r>
      <t xml:space="preserve">Pogonias cromis, Alectis ciliaris, Caulolatilus </t>
    </r>
    <r>
      <rPr>
        <sz val="11"/>
        <color theme="1"/>
        <rFont val="Calibri"/>
        <family val="2"/>
        <scheme val="minor"/>
      </rPr>
      <t>sp.</t>
    </r>
    <r>
      <rPr>
        <i/>
        <sz val="11"/>
        <color theme="1"/>
        <rFont val="Calibri"/>
        <family val="2"/>
        <scheme val="minor"/>
      </rPr>
      <t>, C. chrysops, C. cyanops, C. intermedius, C. microps, Lopholatilus chamaeleonticeps</t>
    </r>
  </si>
  <si>
    <r>
      <t xml:space="preserve">Astropecten </t>
    </r>
    <r>
      <rPr>
        <sz val="11"/>
        <color theme="1"/>
        <rFont val="Calibri"/>
        <family val="2"/>
        <scheme val="minor"/>
      </rPr>
      <t>sp</t>
    </r>
    <r>
      <rPr>
        <i/>
        <sz val="11"/>
        <color theme="1"/>
        <rFont val="Calibri"/>
        <family val="2"/>
        <scheme val="minor"/>
      </rPr>
      <t xml:space="preserve">., A. alligator, A. computes, A. duplicatus, A. americanus, A. articulateus, A. cingulatus, A. armatus, Luidia </t>
    </r>
    <r>
      <rPr>
        <sz val="11"/>
        <color theme="1"/>
        <rFont val="Calibri"/>
        <family val="2"/>
        <scheme val="minor"/>
      </rPr>
      <t>sp</t>
    </r>
    <r>
      <rPr>
        <i/>
        <sz val="11"/>
        <color theme="1"/>
        <rFont val="Calibri"/>
        <family val="2"/>
        <scheme val="minor"/>
      </rPr>
      <t xml:space="preserve">., L. alternate, L. clathrata, L. sagaminia, L. ludwigi, Calappidae, Calappa sp., C. angusta, C. flammea, C. sulcata, </t>
    </r>
    <r>
      <rPr>
        <sz val="11"/>
        <color theme="1"/>
        <rFont val="Calibri"/>
        <family val="2"/>
        <scheme val="minor"/>
      </rPr>
      <t>Asteroidea</t>
    </r>
    <r>
      <rPr>
        <i/>
        <sz val="11"/>
        <color theme="1"/>
        <rFont val="Calibri"/>
        <family val="2"/>
        <scheme val="minor"/>
      </rPr>
      <t xml:space="preserve">, Squilla </t>
    </r>
    <r>
      <rPr>
        <sz val="11"/>
        <color theme="1"/>
        <rFont val="Calibri"/>
        <family val="2"/>
        <scheme val="minor"/>
      </rPr>
      <t>sp</t>
    </r>
    <r>
      <rPr>
        <i/>
        <sz val="11"/>
        <color theme="1"/>
        <rFont val="Calibri"/>
        <family val="2"/>
        <scheme val="minor"/>
      </rPr>
      <t>., S. brasiliensis, S. edentata, S. empusa, S. lijdingi, S. neglecta, S. rugosa, S. chydaea, S. deceptrix, Acanthocarpus alexandri, Rochinia crassa, Anasimus latus</t>
    </r>
  </si>
  <si>
    <r>
      <t>Tursiops truncatus truncates,</t>
    </r>
    <r>
      <rPr>
        <sz val="11"/>
        <color theme="1"/>
        <rFont val="Calibri"/>
        <family val="2"/>
        <scheme val="minor"/>
      </rPr>
      <t xml:space="preserve"> </t>
    </r>
    <r>
      <rPr>
        <i/>
        <sz val="11"/>
        <color rgb="FF000000"/>
        <rFont val="Calibri"/>
        <family val="2"/>
        <scheme val="minor"/>
      </rPr>
      <t>Stenella frontalis, Stenella attenuata attenuate, Stenella coeruleoalba, Stenella longirostris, Steno bredanensis, Stenella clymene, Lagenodelphis hosei, Grampus griseus, Peponocephala electra</t>
    </r>
  </si>
  <si>
    <r>
      <t>Physeter macrocephalus, Ziphius cavirostris, Mesoplodon spp., Orcinus orca, Pseudorca crassidens, Feresa attenuate, Kogia</t>
    </r>
    <r>
      <rPr>
        <sz val="11"/>
        <color theme="1"/>
        <rFont val="Calibri"/>
        <family val="2"/>
        <scheme val="minor"/>
      </rPr>
      <t xml:space="preserve"> spp.</t>
    </r>
  </si>
  <si>
    <t>lg copepods</t>
  </si>
  <si>
    <t>sm copepods</t>
  </si>
  <si>
    <t>other mesozoo</t>
  </si>
  <si>
    <t>lg jellyfish</t>
  </si>
  <si>
    <t>sm gelatinous carnivores</t>
  </si>
  <si>
    <t>butterfish</t>
  </si>
  <si>
    <t>offal</t>
  </si>
  <si>
    <t>sm flatfish</t>
  </si>
  <si>
    <t>lg flatfish</t>
  </si>
  <si>
    <t>lg coastal sharks</t>
  </si>
  <si>
    <t>sm coastal sharks</t>
  </si>
  <si>
    <t>sm pelagics</t>
  </si>
  <si>
    <t>lg pelagics</t>
  </si>
  <si>
    <t>sm demersal</t>
  </si>
  <si>
    <t>lg demersal</t>
  </si>
  <si>
    <t>sm squids</t>
  </si>
  <si>
    <t>sum</t>
  </si>
  <si>
    <t>functional group</t>
  </si>
  <si>
    <t>Not needed</t>
  </si>
  <si>
    <t>Applied to account for an 80% net capture efficiency</t>
  </si>
  <si>
    <t>Biomass estimated from Okey et al. 2002</t>
  </si>
  <si>
    <t>Scaled to equivalent fish wet weight of by multiplying by 0.0940, where the DWT:WWT of fish = 0.3 and DWT:WWT of Aurelia and Chrysaora sp. Combined (Lucas et al. 2011) is 0.028.</t>
  </si>
  <si>
    <t>Scaled to equivalent fish wet weight by multiplying by 0.167, where the DWT:WWT of fish = 0.3 and DWT:WWT of chaetognath sp. ICES manual) is 0.05</t>
  </si>
  <si>
    <t>Scaled to equivalent fish wet weight by multiplying by 0.167, where the DWT:WWT of fish = 0.3 and DWT:WWT of chaetognath sp. ICES manual) is 0.06</t>
  </si>
  <si>
    <t>Applied to account for an 75% net capture efficiency</t>
  </si>
  <si>
    <t>Model estimated biomass</t>
  </si>
  <si>
    <t>Bottom-trawl is a very poor sampling method for gulf menhaden; couldn't get them to balance with commercial fishery take</t>
  </si>
  <si>
    <t>Because it made the group balance</t>
  </si>
  <si>
    <t>Scaling factor for forage fish by Ruzicka et al. 2012</t>
  </si>
  <si>
    <t>Original biomass estimate from Okey et al. 2002; Increased by 75% to balance</t>
  </si>
  <si>
    <t>RHINCODONTIDAE</t>
  </si>
  <si>
    <t>CARPET SHARK FAMILY</t>
  </si>
  <si>
    <t>GINGLYMOSTOMA CIRRATUM</t>
  </si>
  <si>
    <t>NURSE SHARK</t>
  </si>
  <si>
    <t>ODONTASPIS TAURUS</t>
  </si>
  <si>
    <t>SAND TIGER</t>
  </si>
  <si>
    <t>LAMNIDAE</t>
  </si>
  <si>
    <t>MACKEREL SHARK FAMILY</t>
  </si>
  <si>
    <t>CARCHARODON CARCHARIAS</t>
  </si>
  <si>
    <t>WHITE SHARK</t>
  </si>
  <si>
    <t>CETORHINUS MAXIMUS</t>
  </si>
  <si>
    <t>BASKING SHARK</t>
  </si>
  <si>
    <t>LAMNA NASUS</t>
  </si>
  <si>
    <t>PORBEAGLE</t>
  </si>
  <si>
    <t>THRESHER SHARK GENUS</t>
  </si>
  <si>
    <t>ALOPIAS VULPINUS</t>
  </si>
  <si>
    <t>THRESHER SHARK</t>
  </si>
  <si>
    <t>ALOPIAS SUPERCILIOSUS</t>
  </si>
  <si>
    <t>BIGEYE THRESHER</t>
  </si>
  <si>
    <t>ISURUS OXYRINCHUS</t>
  </si>
  <si>
    <t>SHORTFIN MAKO</t>
  </si>
  <si>
    <t>SCYLIORHINUS RETIFER</t>
  </si>
  <si>
    <t>CHAIN DOGFISH</t>
  </si>
  <si>
    <t>CARCHARHINIDAE</t>
  </si>
  <si>
    <t>REQUIEM SHARK FAMILY</t>
  </si>
  <si>
    <t>GALEOCERDO CUVIER</t>
  </si>
  <si>
    <t>TIGER SHARK</t>
  </si>
  <si>
    <t>RHIZOPRIONODON TERRAENOVAE</t>
  </si>
  <si>
    <t>ATLANTIC SHARPNOSE SHARK</t>
  </si>
  <si>
    <t>SMOOTHHOUND GENUS</t>
  </si>
  <si>
    <t>MUSTELUS CANIS</t>
  </si>
  <si>
    <t>SMOOTH DOGFISH</t>
  </si>
  <si>
    <t>MUSTELUS NORRISI</t>
  </si>
  <si>
    <t>FLORIDA SMOOTHHOUND</t>
  </si>
  <si>
    <t>CARCHARHINUS SPP.</t>
  </si>
  <si>
    <t>REQUIEM SHARK GENUS</t>
  </si>
  <si>
    <t>CARCHARHINUS OBSCURUS</t>
  </si>
  <si>
    <t>DUSKY SHARK</t>
  </si>
  <si>
    <t>CARCHARHINUS LEUCAS</t>
  </si>
  <si>
    <t>BULL SHARK</t>
  </si>
  <si>
    <t>CARCHARHINUS PLUMBEUS</t>
  </si>
  <si>
    <t>SANDBAR SHARK</t>
  </si>
  <si>
    <t>CARCHARHINUS ACRONOTUS</t>
  </si>
  <si>
    <t>BLACKNOSE SHARK</t>
  </si>
  <si>
    <t>CARCHARHINUS ALTIMUS</t>
  </si>
  <si>
    <t>BIGNOSE SHARK</t>
  </si>
  <si>
    <t>CARCHARHINUS FALCIFORMIS</t>
  </si>
  <si>
    <t>SILKY SHARK</t>
  </si>
  <si>
    <t>CARCHARHINUS LIMBATUS</t>
  </si>
  <si>
    <t>BLACKTIP SHARK</t>
  </si>
  <si>
    <t>CARCHARHINUS LONGIMANUS</t>
  </si>
  <si>
    <t>OCEAN WHITETIP SHARK</t>
  </si>
  <si>
    <t>CARCHARHINUS BREVIPINNA</t>
  </si>
  <si>
    <t>SPINNER SHARK</t>
  </si>
  <si>
    <t>CARCHARHINUS POROSUS</t>
  </si>
  <si>
    <t>SMALLTAIL SHARK</t>
  </si>
  <si>
    <t>CARCHARHINUS PEREZI</t>
  </si>
  <si>
    <t>REEF SHARK</t>
  </si>
  <si>
    <t>PRIONACE GLAUCA</t>
  </si>
  <si>
    <t>BLUE SHARK</t>
  </si>
  <si>
    <t>CARCHARHINUS SIGNATUS</t>
  </si>
  <si>
    <t>NIGHT SHARK</t>
  </si>
  <si>
    <t>NEGAPRION BREVIROSTRIS</t>
  </si>
  <si>
    <t>LEMON SHARK</t>
  </si>
  <si>
    <t>CARCHARHINUS ISODON</t>
  </si>
  <si>
    <t>FINETOOTH SHARK</t>
  </si>
  <si>
    <t>HAMMERHEAD SHARK GENUS</t>
  </si>
  <si>
    <t>SPHYRNA TIBURO</t>
  </si>
  <si>
    <t>BONNETHEAD</t>
  </si>
  <si>
    <t>SPHYRNA ZYGAENA</t>
  </si>
  <si>
    <t>SMOOTH HAMMERHEAD</t>
  </si>
  <si>
    <t>SPHYRNA LEWINI</t>
  </si>
  <si>
    <t>SCALLOPED HAMMERHEAD</t>
  </si>
  <si>
    <t>SPHYRNA MOKARRAN</t>
  </si>
  <si>
    <t>GREAT HAMMERHEAD</t>
  </si>
  <si>
    <t>SPHYRNA TUDES</t>
  </si>
  <si>
    <t>SMALLEYE HAMMERHEAD</t>
  </si>
  <si>
    <t>SQUALIDAE</t>
  </si>
  <si>
    <t>DOGFISH SHARK FAMILY</t>
  </si>
  <si>
    <t>SQUALUS ACANTHIAS</t>
  </si>
  <si>
    <t>SPINY DOGFISH</t>
  </si>
  <si>
    <t>DALATIAS LICHA</t>
  </si>
  <si>
    <t>KITEFIN SHARK</t>
  </si>
  <si>
    <t>CENTROSCYLLIUM FABRICII</t>
  </si>
  <si>
    <t>BLACK DOGFISH</t>
  </si>
  <si>
    <t>SQUATINA DUMERIL</t>
  </si>
  <si>
    <t>ATLANTIC ANGEL SHARK</t>
  </si>
  <si>
    <t>RAJIFORMES</t>
  </si>
  <si>
    <t>UNIDENTIFIED SKATE OR RAY</t>
  </si>
  <si>
    <t>PRISTIS SPP.</t>
  </si>
  <si>
    <t>SAWFISH FAMILY</t>
  </si>
  <si>
    <t>PRISTIS PECTINATA</t>
  </si>
  <si>
    <t>SMALLTOOTH SAWFISH</t>
  </si>
  <si>
    <t>PRISTIS PRISTIS</t>
  </si>
  <si>
    <t>LARGETOOTH SAWFISH</t>
  </si>
  <si>
    <t>RHINOBATOS LENTIGINOSUS</t>
  </si>
  <si>
    <t>ATLANTIC GUITARFISH</t>
  </si>
  <si>
    <t>TORPEDINIDAE</t>
  </si>
  <si>
    <t>ELECTRIC RAY FAMILY</t>
  </si>
  <si>
    <t>TORPEDO NOBILIANA</t>
  </si>
  <si>
    <t>ATLANTIC TORPEDO</t>
  </si>
  <si>
    <t>SKATE GENUS</t>
  </si>
  <si>
    <t>RAJA EGLANTERIA</t>
  </si>
  <si>
    <t>CLEARNOSE SKATE</t>
  </si>
  <si>
    <t>RAJA ERINACEA</t>
  </si>
  <si>
    <t>LITTLE SKATE</t>
  </si>
  <si>
    <t>RAJA LAEVIS</t>
  </si>
  <si>
    <t>BARNDOOR SKATE</t>
  </si>
  <si>
    <t>RAJA OCELLATA</t>
  </si>
  <si>
    <t>WINTER SKATE</t>
  </si>
  <si>
    <t>RAJA GARMANI</t>
  </si>
  <si>
    <t>ROSETTE SKATE</t>
  </si>
  <si>
    <t>RAJA LENTIGINOSA</t>
  </si>
  <si>
    <t>FRECKLED SKATE</t>
  </si>
  <si>
    <t>RAJA SENTA</t>
  </si>
  <si>
    <t>SMOOTH SKATE</t>
  </si>
  <si>
    <t>RAJA TEXANA</t>
  </si>
  <si>
    <t>ROUNDEL SKATE</t>
  </si>
  <si>
    <t>RAJA RADIATA</t>
  </si>
  <si>
    <t>THORNY SKATE</t>
  </si>
  <si>
    <t>RAJA SPINICAUDA</t>
  </si>
  <si>
    <t>SPINYTAIL SKATE</t>
  </si>
  <si>
    <t>DASYATIDAE</t>
  </si>
  <si>
    <t>STINGRAY FAMILY</t>
  </si>
  <si>
    <t>STINGRAY GENUS</t>
  </si>
  <si>
    <t>DASYATIS AMERICANA</t>
  </si>
  <si>
    <t>SOUTHERN STINGRAY</t>
  </si>
  <si>
    <t>DASYATIS CENTROURA</t>
  </si>
  <si>
    <t>ROUGHTAIL STINGRAY</t>
  </si>
  <si>
    <t>DASYATIS SABINA</t>
  </si>
  <si>
    <t>ATLANTIC STINGRAY</t>
  </si>
  <si>
    <t>DASYATIS SAY</t>
  </si>
  <si>
    <t>BLUNTNOSE STINGRAY</t>
  </si>
  <si>
    <t>BUTTERFLY RAY GENUS</t>
  </si>
  <si>
    <t>GYMNURA ALTAVELA</t>
  </si>
  <si>
    <t>SPINY BUTTERFLY RAY</t>
  </si>
  <si>
    <t>GYMNURA MICRURA</t>
  </si>
  <si>
    <t>SMOOTH BUTTERFLY RAY</t>
  </si>
  <si>
    <t>UROLOPHUS JAMAICENSIS</t>
  </si>
  <si>
    <t>YELLOW STINGRAY</t>
  </si>
  <si>
    <t>MYLIOBATIDAE</t>
  </si>
  <si>
    <t>EAGLE RAY FAMILY</t>
  </si>
  <si>
    <t>AETOBATUS NARINARI</t>
  </si>
  <si>
    <t>SPOTTED EAGLE RAY</t>
  </si>
  <si>
    <t>MYLIOBATIS FREMINVILLEI</t>
  </si>
  <si>
    <t>BULLNOSE RAY</t>
  </si>
  <si>
    <t>MYLIOBATIS GOODEI</t>
  </si>
  <si>
    <t>SOUTHERN EAGLE RAY</t>
  </si>
  <si>
    <t>RHINOPTERA BONASUS</t>
  </si>
  <si>
    <t>COWNOSE RAY</t>
  </si>
  <si>
    <t>MOBULIDAE</t>
  </si>
  <si>
    <t>MANTA FAMILY</t>
  </si>
  <si>
    <t>MOBULA HYPOSTOMA</t>
  </si>
  <si>
    <t>DEVIL RAY</t>
  </si>
  <si>
    <t>ELOPS SAURUS</t>
  </si>
  <si>
    <t>MEGALOPS ATLANTICUS</t>
  </si>
  <si>
    <t>ATLANTIC TARPON</t>
  </si>
  <si>
    <t>ANGUILLIFORMES</t>
  </si>
  <si>
    <t>UNIDENTIFIED EEL</t>
  </si>
  <si>
    <t>ANGUILLA ROSTRATA</t>
  </si>
  <si>
    <t>AMERICAN EEL</t>
  </si>
  <si>
    <t>NEOCONGER MUCRONATUS</t>
  </si>
  <si>
    <t>RIDGED EEL</t>
  </si>
  <si>
    <t>CHLOPSIDAE</t>
  </si>
  <si>
    <t>FALSE MORAY FAMILY</t>
  </si>
  <si>
    <t>CHILORHINUS SUENSONI</t>
  </si>
  <si>
    <t>SEAGRASS EEL</t>
  </si>
  <si>
    <t>KAUPICHTHYS HYOPOROIDES</t>
  </si>
  <si>
    <t>FALSE MORAY</t>
  </si>
  <si>
    <t>MURAENIDAE</t>
  </si>
  <si>
    <t>MORAY FAMILY</t>
  </si>
  <si>
    <t>ANARCHIAS SIMILIS</t>
  </si>
  <si>
    <t>PYGMY MORAY</t>
  </si>
  <si>
    <t>ECHIDNA CATENATA</t>
  </si>
  <si>
    <t>CHAIN MORAY</t>
  </si>
  <si>
    <t>GYMNOTHORAX FUNEBRIS</t>
  </si>
  <si>
    <t>GREEN MORAY</t>
  </si>
  <si>
    <t>GYMNOTHORAX MORINGA</t>
  </si>
  <si>
    <t>SPOTTED MORAY</t>
  </si>
  <si>
    <t>GYMNOTHORAX NIGROMARGINATUS</t>
  </si>
  <si>
    <t>BLACKEDGE MORAY</t>
  </si>
  <si>
    <t>GYMNOTHORAX SAXICOLA</t>
  </si>
  <si>
    <t>OCELLATED MORAY</t>
  </si>
  <si>
    <t>GYMNOTHORAX VICINUS</t>
  </si>
  <si>
    <t>PURPLEMOUTH MORAY</t>
  </si>
  <si>
    <t>MURAENA MILARIS</t>
  </si>
  <si>
    <t>GOLDENTAIL MORAY</t>
  </si>
  <si>
    <t>MURAENA RETIFERA</t>
  </si>
  <si>
    <t>RETICULATE MORAY</t>
  </si>
  <si>
    <t>HOPLUNNIS MACRURUS</t>
  </si>
  <si>
    <t>FRECKLED PIKE-CONGER</t>
  </si>
  <si>
    <t>CONGRIDAE</t>
  </si>
  <si>
    <t>CONGER EEL FAMILY</t>
  </si>
  <si>
    <t>CONGER OCEANICUS</t>
  </si>
  <si>
    <t>CONGER EEL</t>
  </si>
  <si>
    <t>HILDEBRANDIA FLAVA</t>
  </si>
  <si>
    <t>YELLOW CONGER</t>
  </si>
  <si>
    <t>OPHICHTHIDAE</t>
  </si>
  <si>
    <t>SNAKE EEL FAMILY</t>
  </si>
  <si>
    <t>BASCANICHTHYS SCUTICARIS</t>
  </si>
  <si>
    <t>WHIP EEL</t>
  </si>
  <si>
    <t>CALLECHELYS MURAENA</t>
  </si>
  <si>
    <t>BLOTCHED SNAKE EEL</t>
  </si>
  <si>
    <t>CALLECHELYS GUINIENSIS</t>
  </si>
  <si>
    <t>SHORTTAIL SNAKE EEL</t>
  </si>
  <si>
    <t>GORDIICHTHYS SPRINGERI</t>
  </si>
  <si>
    <t>THREAD EEL</t>
  </si>
  <si>
    <t>MYRICHTHYS OCELLATUS</t>
  </si>
  <si>
    <t>GOLDSPOTTED EEL</t>
  </si>
  <si>
    <t>MYRICHTHYS BREVICEPS</t>
  </si>
  <si>
    <t>SHARPTAIL EEL</t>
  </si>
  <si>
    <t>MYROPHIS PUNCTATUS</t>
  </si>
  <si>
    <t>SPECKLED WORM EEL</t>
  </si>
  <si>
    <t>ECHIOPHIS INTERTINCTUS</t>
  </si>
  <si>
    <t>SPOTTED SPOON-NOSE EEL</t>
  </si>
  <si>
    <t>OPHICHTHUS GOMESI</t>
  </si>
  <si>
    <t>SHRIMP EEL</t>
  </si>
  <si>
    <t>OPHICHTHUS PUNCTICEPSS</t>
  </si>
  <si>
    <t>PALESPOTTED EEL</t>
  </si>
  <si>
    <t>OPHICHTHUS OPHIS</t>
  </si>
  <si>
    <t>SPOTTED SNAKE EEL</t>
  </si>
  <si>
    <t>ICHTHYAPUS OPHIONEUS</t>
  </si>
  <si>
    <t>SURF EEL</t>
  </si>
  <si>
    <t>APTERICHTUS ANSP</t>
  </si>
  <si>
    <t>ACADEMY EEL</t>
  </si>
  <si>
    <t>CLUPEIDAE</t>
  </si>
  <si>
    <t>HERRING FAMILY</t>
  </si>
  <si>
    <t>HERRING GENUS</t>
  </si>
  <si>
    <t>ALOSA SAPIDISSIMA</t>
  </si>
  <si>
    <t>AMERICAN SHAD</t>
  </si>
  <si>
    <t>ALOSA AESTIVALIS</t>
  </si>
  <si>
    <t>BLUEBACK HERRING</t>
  </si>
  <si>
    <t>ALOSA MEDIOCRIS</t>
  </si>
  <si>
    <t>HICKORY SHAD</t>
  </si>
  <si>
    <t>ALOSA ALABAMAE</t>
  </si>
  <si>
    <t>ALABAMA SHAD</t>
  </si>
  <si>
    <t>ALOSA PSEUDOHARENGUS</t>
  </si>
  <si>
    <t>ALEWIFE</t>
  </si>
  <si>
    <t>ALOSA CHRYSOCHLORIS</t>
  </si>
  <si>
    <t>SKIPJACK HERRING</t>
  </si>
  <si>
    <t>CLUPEA HARENGUS</t>
  </si>
  <si>
    <t>ATLANTIC HERRING</t>
  </si>
  <si>
    <t>MENHADEN GENUS</t>
  </si>
  <si>
    <t>BREVOORTIA TYRANNUS</t>
  </si>
  <si>
    <t>ATLANTIC MENHADEN</t>
  </si>
  <si>
    <t>BREVOORTIA GUNTERI</t>
  </si>
  <si>
    <t>FINESCALE MENHADEN</t>
  </si>
  <si>
    <t>BREVOORTIA PATRONUS</t>
  </si>
  <si>
    <t>GULF MENHADEN</t>
  </si>
  <si>
    <t>BREVOORTIA SMITHI</t>
  </si>
  <si>
    <t>YELLOWFIN MENHADEN</t>
  </si>
  <si>
    <t>DOROSOMA CEPEDIANUM</t>
  </si>
  <si>
    <t>GIZZARD SHAD</t>
  </si>
  <si>
    <t>DOROSOMA PETENENSE</t>
  </si>
  <si>
    <t>THREADFIN SHAD</t>
  </si>
  <si>
    <t>ETRUMEUS TERES</t>
  </si>
  <si>
    <t>ROUND HERRING</t>
  </si>
  <si>
    <t>OPISTHONEMA OGLINUM</t>
  </si>
  <si>
    <t>ATLANTIC THREAD HERRING</t>
  </si>
  <si>
    <t>HARENGULA CLUPEOLA</t>
  </si>
  <si>
    <t>FALSE PILCHARD</t>
  </si>
  <si>
    <t>HARENGULA HUMERALIS</t>
  </si>
  <si>
    <t>REDEAR SARDINE</t>
  </si>
  <si>
    <t>HARENGULA JAGUANA</t>
  </si>
  <si>
    <t>SCALED SARDINE</t>
  </si>
  <si>
    <t>SARDINELLA BRASILIENSIS</t>
  </si>
  <si>
    <t>ORANGESPOT SARDINE</t>
  </si>
  <si>
    <t>SARDINELLA AURITA</t>
  </si>
  <si>
    <t>SPANISH SARDINE</t>
  </si>
  <si>
    <t>ENGRAULIDAE</t>
  </si>
  <si>
    <t>ANCHOVY FAMILY</t>
  </si>
  <si>
    <t>ENGRAULIS EURYSTOLE</t>
  </si>
  <si>
    <t>SILVER ANCHOVY</t>
  </si>
  <si>
    <t>ANCHOA HEPSETUS</t>
  </si>
  <si>
    <t>STRIPED ANCHOVY</t>
  </si>
  <si>
    <t>ANCHOA MITCHILLI</t>
  </si>
  <si>
    <t>BAY ANCHOVY</t>
  </si>
  <si>
    <t>ANCHOA LAMPROTAENIA</t>
  </si>
  <si>
    <t>BIGEYE ANCHOVY</t>
  </si>
  <si>
    <t>ANCHOA LYOLEPIS</t>
  </si>
  <si>
    <t>DUSKY ANCHOVY</t>
  </si>
  <si>
    <t>ANCHOA CAYORUM</t>
  </si>
  <si>
    <t>KEY ANCHOVY</t>
  </si>
  <si>
    <t>SALMO SALAR</t>
  </si>
  <si>
    <t>ATLANTIC SALMON</t>
  </si>
  <si>
    <t>SYNODONTIDAE</t>
  </si>
  <si>
    <t>LIZARDFISH FAMILY</t>
  </si>
  <si>
    <t>LIZARDFISH GENUS</t>
  </si>
  <si>
    <t>SYNODUS FOETENS</t>
  </si>
  <si>
    <t>INSHORE LIZARDFISH</t>
  </si>
  <si>
    <t>SYNODUS INTERMEDIUS</t>
  </si>
  <si>
    <t>SAND DIVER</t>
  </si>
  <si>
    <t>SYNODUS POEYI</t>
  </si>
  <si>
    <t>OFFSHORE LIZARDFISH</t>
  </si>
  <si>
    <t>SYNODUS SYNODUS</t>
  </si>
  <si>
    <t>RED LIZARDFISH</t>
  </si>
  <si>
    <t>SAURIDA BRASILIENSIS</t>
  </si>
  <si>
    <t>LARGESCALE LIZARDFISH</t>
  </si>
  <si>
    <t>TRACHINOCEPHALUS MYOPS</t>
  </si>
  <si>
    <t>SNAKEFISH</t>
  </si>
  <si>
    <t>ANOTOPTERUS PHARAO</t>
  </si>
  <si>
    <t>DAGGERTOOTH</t>
  </si>
  <si>
    <t>SILURIFORMES</t>
  </si>
  <si>
    <t>UNIDENTIFIED CATFISHES</t>
  </si>
  <si>
    <t>ARIIDAE</t>
  </si>
  <si>
    <t>SEA CATFISH FAMILY</t>
  </si>
  <si>
    <t>BAGRE MARINUS</t>
  </si>
  <si>
    <t>GAFFTOPSAIL CATFISH</t>
  </si>
  <si>
    <t>ARIUS FELIS</t>
  </si>
  <si>
    <t>HARDHEAD CATFISH</t>
  </si>
  <si>
    <t>BATRACHOIDIDAE</t>
  </si>
  <si>
    <t>TOADFISH FAMILY</t>
  </si>
  <si>
    <t>PORICHTHYS PLECTRODON</t>
  </si>
  <si>
    <t>ATLANTIC MIDSHIPMAN</t>
  </si>
  <si>
    <t>OPSANUS SPP.</t>
  </si>
  <si>
    <t>TOADFISH GENUS</t>
  </si>
  <si>
    <t>OPSANUS TAU</t>
  </si>
  <si>
    <t>OYSTER TOADFISH</t>
  </si>
  <si>
    <t>OPSANUS BETA</t>
  </si>
  <si>
    <t>GULF TOADFISH</t>
  </si>
  <si>
    <t>OPSANUS PARDUS</t>
  </si>
  <si>
    <t>LEOPARD TOADFISH</t>
  </si>
  <si>
    <t>LOPHIUS AMERICANUS</t>
  </si>
  <si>
    <t>GOOSEFISH</t>
  </si>
  <si>
    <t>ANTENNARIUS OCELLATUS</t>
  </si>
  <si>
    <t>OCELLATED FROGFISH</t>
  </si>
  <si>
    <t>OGCOCEPHALIDAE</t>
  </si>
  <si>
    <t>BATFISH FAMILY</t>
  </si>
  <si>
    <t>OGCOCEPHALUS RADIATUS</t>
  </si>
  <si>
    <t>POLKA-DOT BATFISH</t>
  </si>
  <si>
    <t>ZALIEUTES MCGINTYI</t>
  </si>
  <si>
    <t>TRICORN BATFISH</t>
  </si>
  <si>
    <t>GADIDAE</t>
  </si>
  <si>
    <t>COD FAMILY</t>
  </si>
  <si>
    <t>ARCTOGADUS BORISOVI</t>
  </si>
  <si>
    <t>TOOTHED COD</t>
  </si>
  <si>
    <t>BOREOGADUS SAIDA</t>
  </si>
  <si>
    <t>ARCTIC COD</t>
  </si>
  <si>
    <t>GADUS MORHUA</t>
  </si>
  <si>
    <t>ATLANTIC COD</t>
  </si>
  <si>
    <t>MICROGADUS TOMCOD</t>
  </si>
  <si>
    <t>ATLANTIC TOMCOD</t>
  </si>
  <si>
    <t>POLLACHIUS VIRENS</t>
  </si>
  <si>
    <t>POLLOCK</t>
  </si>
  <si>
    <t xml:space="preserve">small demersal </t>
  </si>
  <si>
    <t>HAKE GENUS</t>
  </si>
  <si>
    <t>UROPHYCIS CHUSS</t>
  </si>
  <si>
    <t>RED HAKE</t>
  </si>
  <si>
    <t>UROPHYCIS REGIA</t>
  </si>
  <si>
    <t>SPOTTED HAKE</t>
  </si>
  <si>
    <t>UROPHYCIS TENUIS</t>
  </si>
  <si>
    <t>WHITE HAKE</t>
  </si>
  <si>
    <t>UROPHYCIS CIRRATA</t>
  </si>
  <si>
    <t>GULF HAKE</t>
  </si>
  <si>
    <t>UROPHYCIS EARLLI</t>
  </si>
  <si>
    <t>CAROLINA HAKE</t>
  </si>
  <si>
    <t>UROPHYCIS FLORIDANA</t>
  </si>
  <si>
    <t>SOUTHERN HAKE</t>
  </si>
  <si>
    <t>BROSME BROSME</t>
  </si>
  <si>
    <t>CUSK</t>
  </si>
  <si>
    <t>MELANOGRAMMUS AEGLEFINUS</t>
  </si>
  <si>
    <t>HADDOCK</t>
  </si>
  <si>
    <t>UROPHYCIS CHESTERI</t>
  </si>
  <si>
    <t>LONGFIN HAKE</t>
  </si>
  <si>
    <t>MERLUCCIUS BILINEARIS</t>
  </si>
  <si>
    <t>SILVER HAKE</t>
  </si>
  <si>
    <t>STEINDACHNERIA ARGENTEA</t>
  </si>
  <si>
    <t>LUMINOUS HAKE</t>
  </si>
  <si>
    <t>OPHIDIIDAE</t>
  </si>
  <si>
    <t>CUSK-EEL FAMILY</t>
  </si>
  <si>
    <t>BROTULA BARBATA</t>
  </si>
  <si>
    <t>BEARDED BROTULA</t>
  </si>
  <si>
    <t>LEPOPHIDIUM PROFUNDORUM</t>
  </si>
  <si>
    <t>FAWN CUSK-EEL</t>
  </si>
  <si>
    <t>OPHIDION GRAYI</t>
  </si>
  <si>
    <t>BLOTCHED CUSK-EEL</t>
  </si>
  <si>
    <t>OPHIDION HOLBROOKI</t>
  </si>
  <si>
    <t>BANK CUSK-EEL</t>
  </si>
  <si>
    <t>ZOARCIDAE</t>
  </si>
  <si>
    <t>EELPOUT FAMILY</t>
  </si>
  <si>
    <t>MACROZOARCES AMERICANUS</t>
  </si>
  <si>
    <t>OCEAN POUT</t>
  </si>
  <si>
    <t>EXOCOETIDAE</t>
  </si>
  <si>
    <t>FLYINGFISH FAMILY</t>
  </si>
  <si>
    <t>CYPSELURUS MELANURUS</t>
  </si>
  <si>
    <t>ATLANTIC FLYINGFISH</t>
  </si>
  <si>
    <t>HEMIRAMPHUS BRASILIENSIS</t>
  </si>
  <si>
    <t>BALLYHOO</t>
  </si>
  <si>
    <t>HEMIRAMPHUS BALAO</t>
  </si>
  <si>
    <t>BALAO</t>
  </si>
  <si>
    <t>HYPORHAMPHUS UNIFASCIATUS</t>
  </si>
  <si>
    <t>SILVERSTRIPE HALFBEAK</t>
  </si>
  <si>
    <t>ATHERINIDAE</t>
  </si>
  <si>
    <t>SILVERSIDE FAMILY</t>
  </si>
  <si>
    <t>MEMBRAS MARTINICA</t>
  </si>
  <si>
    <t>ROUGH SILVERSIDE</t>
  </si>
  <si>
    <t>SILVERSIDE GENUS</t>
  </si>
  <si>
    <t>MENIDIA BERYLLINA</t>
  </si>
  <si>
    <t>INLAND SILVERSIDE</t>
  </si>
  <si>
    <t>MENIDIA MENIDIA</t>
  </si>
  <si>
    <t>ATLANTIC SILVERSIDE</t>
  </si>
  <si>
    <t>ATHERINOMORUS STIPES</t>
  </si>
  <si>
    <t>HARDHEAD SILVERSIDE</t>
  </si>
  <si>
    <t>HOLOCENTRIDAE</t>
  </si>
  <si>
    <t>SQUIRRELFISH FAMILY</t>
  </si>
  <si>
    <t>SQUIRRELFISH GENUS</t>
  </si>
  <si>
    <t>HOLOCENTRUS ADSCENSIONIS</t>
  </si>
  <si>
    <t>SQUIRRELFISH</t>
  </si>
  <si>
    <t>HOLOCENTRUS BULLISI</t>
  </si>
  <si>
    <t>DEEPWATER SQUIRRELFISH</t>
  </si>
  <si>
    <t>HOLOCENTRUS RUFUS</t>
  </si>
  <si>
    <t>LONGSPINE SQUIRRELFISH</t>
  </si>
  <si>
    <t>HOLOCENTRUS CORUSCUS</t>
  </si>
  <si>
    <t>REEF SQUIRRELFISH</t>
  </si>
  <si>
    <t>HOLOCENTRUS MARIANUS</t>
  </si>
  <si>
    <t>LONGJAW SQUIRRELFISH</t>
  </si>
  <si>
    <t>HOLOCENTRUS VEXILLARIUS</t>
  </si>
  <si>
    <t>DUSKY SQUIRRELFISH</t>
  </si>
  <si>
    <t>MYRIPRISTIS JACOBUS</t>
  </si>
  <si>
    <t>BLACKBAR SOLDIERFISH</t>
  </si>
  <si>
    <t>OSTICHTHYS TRACHYPOMA</t>
  </si>
  <si>
    <t>BIGEYE SOLDIERFISH</t>
  </si>
  <si>
    <t>EUMECICHTHYS FISKI</t>
  </si>
  <si>
    <t>UNICORNFISH</t>
  </si>
  <si>
    <t>TRACHIPTERIDAE</t>
  </si>
  <si>
    <t>RIBBONFISH FAMILY</t>
  </si>
  <si>
    <t>TRACHIPTERUS ARCTICUS</t>
  </si>
  <si>
    <t>DEALFISH</t>
  </si>
  <si>
    <t>TRACHIPTERUS FUKUZAKII</t>
  </si>
  <si>
    <t>TAPERTAIL RIBBONFISH</t>
  </si>
  <si>
    <t>DESMODEMA POLYSTICTUM</t>
  </si>
  <si>
    <t>POLKA-DOT RIBBONFISH</t>
  </si>
  <si>
    <t>REGALECUS GLESNE</t>
  </si>
  <si>
    <t>OARFISH</t>
  </si>
  <si>
    <t>GASTEROSTEIDAE</t>
  </si>
  <si>
    <t>STICKLEBACK FAMILY</t>
  </si>
  <si>
    <t>APELTES QUADRACUS</t>
  </si>
  <si>
    <t>FOURSPINE STICKLEBACK</t>
  </si>
  <si>
    <t>SCORPAENIDAE</t>
  </si>
  <si>
    <t>SCORPIONFISH FAMILY</t>
  </si>
  <si>
    <t>SEBASTES NORVEGICUS</t>
  </si>
  <si>
    <t>GOLDEN REDFISH</t>
  </si>
  <si>
    <t>SEBASTES MENTELLA</t>
  </si>
  <si>
    <t>DEEPWATER REDFISH</t>
  </si>
  <si>
    <t>HELICOLENUS DACTYLOPTERUS</t>
  </si>
  <si>
    <t>BLACKBELLY ROSEFISH</t>
  </si>
  <si>
    <t>NEOMERINTHE HEMINGWAYI</t>
  </si>
  <si>
    <t>SPINYCHEEK SCORPIONFISH</t>
  </si>
  <si>
    <t>SCORPAENA AGASSIZI</t>
  </si>
  <si>
    <t>LONGFIN SCORPIONFISH</t>
  </si>
  <si>
    <t>SCORPAENA BERGI</t>
  </si>
  <si>
    <t>GOOSEHEAD SCORPIONFISH</t>
  </si>
  <si>
    <t>SCORPAENA BRASILIENSIS</t>
  </si>
  <si>
    <t>BARBFISH</t>
  </si>
  <si>
    <t>SCORPAENA PLUMIERI</t>
  </si>
  <si>
    <t>SPOTTED SCORPIONFISH</t>
  </si>
  <si>
    <t>SCORPAENODES CARIBBAEUS</t>
  </si>
  <si>
    <t>REEF SCORPIONFISH</t>
  </si>
  <si>
    <t>TRIGLIDAE</t>
  </si>
  <si>
    <t>SEAROBIN FAMILY</t>
  </si>
  <si>
    <t>SEAROBIN GENUS</t>
  </si>
  <si>
    <t>PRIONOTUS CAROLINUS</t>
  </si>
  <si>
    <t>NORTHERN SEAROBIN</t>
  </si>
  <si>
    <t>PRIONOTUS EVOLANS</t>
  </si>
  <si>
    <t>STRIPED SEAROBIN</t>
  </si>
  <si>
    <t>PRIONOTUS SCITULUS</t>
  </si>
  <si>
    <t>LEOPARD SEAROBIN</t>
  </si>
  <si>
    <t>PRIONOTUS TRIBULUS</t>
  </si>
  <si>
    <t>BIGHEAD SEAROBIN</t>
  </si>
  <si>
    <t>PRIONOTUS ALATUS</t>
  </si>
  <si>
    <t>SPINY SEAROBIN</t>
  </si>
  <si>
    <t>PRIONOTUS MARTIS</t>
  </si>
  <si>
    <t>BARRED SEAROBIN</t>
  </si>
  <si>
    <t>PRIONOTUS OPHRYAS</t>
  </si>
  <si>
    <t>BANDTAIL SEAROBIN</t>
  </si>
  <si>
    <t>PRIONOTUS PARALATUS</t>
  </si>
  <si>
    <t>MEXICAN SEAROBIN</t>
  </si>
  <si>
    <t>PRIONOTUS ROSEUS</t>
  </si>
  <si>
    <t>BLUESPOTTED SEAROBIN</t>
  </si>
  <si>
    <t>PRIONOTUS LONGISPINOSUS</t>
  </si>
  <si>
    <t>BIGEYE SEAROBIN</t>
  </si>
  <si>
    <t>PRIONOTUS RUBIO</t>
  </si>
  <si>
    <t>BLACKWING SEAROBIN</t>
  </si>
  <si>
    <t>BELLATOR BRACHYCHIR</t>
  </si>
  <si>
    <t>SHORTFIN SEAROBIN</t>
  </si>
  <si>
    <t>BELLATOR EGRETTA</t>
  </si>
  <si>
    <t>STREAMER SEAROBIN</t>
  </si>
  <si>
    <t>BELLATOR MILITARIS</t>
  </si>
  <si>
    <t>HORNED SEAROBIN</t>
  </si>
  <si>
    <t>PERISTEDION MINIATUM</t>
  </si>
  <si>
    <t>ARMORED SEAROBIN</t>
  </si>
  <si>
    <t>ICELUS BICORNIS</t>
  </si>
  <si>
    <t>TWOHORN SCULPIN</t>
  </si>
  <si>
    <t>COTTIDAE</t>
  </si>
  <si>
    <t>SCULPIN FAMILY</t>
  </si>
  <si>
    <t>ARTEDIELLUS ATLANTICUS</t>
  </si>
  <si>
    <t>ATLANTIC HOOKEAR SCULPIN</t>
  </si>
  <si>
    <t>HEMITRIPTERUS AMERICANUS</t>
  </si>
  <si>
    <t>SEA RAVEN</t>
  </si>
  <si>
    <t>MYOXOCEPHALUS SCORPIUS</t>
  </si>
  <si>
    <t>SHORTHORN SCULPIN</t>
  </si>
  <si>
    <t>MYOXOCEPHALUS OCTODECEMSPINOSUS</t>
  </si>
  <si>
    <t>LONGHORN SCULPIN</t>
  </si>
  <si>
    <t>MYOXOCEPHALUS AENAEUS</t>
  </si>
  <si>
    <t>GRUBBY</t>
  </si>
  <si>
    <t>ASPIDOPHOROIDES MONOPTERYGIUS</t>
  </si>
  <si>
    <t>ALLIGATORFISH</t>
  </si>
  <si>
    <t>CYCLOPTERIDAE</t>
  </si>
  <si>
    <t>SNAILFISH FAMILY</t>
  </si>
  <si>
    <t>CYCLOPTERUS LUMPUS</t>
  </si>
  <si>
    <t>LUMPFISH</t>
  </si>
  <si>
    <t>SNOOK GENUS</t>
  </si>
  <si>
    <t>CENTROPOMUS ENSIFERUS</t>
  </si>
  <si>
    <t>SWORDSPINE SNOOK</t>
  </si>
  <si>
    <t>CENTROPOMUS PARALLELUS</t>
  </si>
  <si>
    <t>FAT SNOOK</t>
  </si>
  <si>
    <t>CENTROPOMUS PECTINATUS</t>
  </si>
  <si>
    <t>TARPON SNOOK</t>
  </si>
  <si>
    <t>CENTROPOMUS UNDECIMALIS</t>
  </si>
  <si>
    <t>COMMON SNOOK</t>
  </si>
  <si>
    <t>SERRANIDAE</t>
  </si>
  <si>
    <t>SEA BASS FAMILY</t>
  </si>
  <si>
    <t>TEMPERATE BASS GENUS</t>
  </si>
  <si>
    <t>MORONE AMERICANA</t>
  </si>
  <si>
    <t>WHITE PERCH</t>
  </si>
  <si>
    <t>SEA BASS GENUS</t>
  </si>
  <si>
    <t>CENTROPRISTIS STRIATA</t>
  </si>
  <si>
    <t>BLACK SEA BASS</t>
  </si>
  <si>
    <t>CENTROPRISTIS OCYURUS</t>
  </si>
  <si>
    <t>BANK SEA BASS</t>
  </si>
  <si>
    <t>CENTROPRISTIS PHILADELPHICA</t>
  </si>
  <si>
    <t>ROCK SEA BASS</t>
  </si>
  <si>
    <t>GROUPER GENUS EPINEPHELUS</t>
  </si>
  <si>
    <t>EPINEPHELUS ITAJARA</t>
  </si>
  <si>
    <t>JEWFISH</t>
  </si>
  <si>
    <t>EPINEPHELUS ADSCENSIONIS</t>
  </si>
  <si>
    <t>ROCK HIND</t>
  </si>
  <si>
    <t>EPINEPHELUS DRUMMONDHAYI</t>
  </si>
  <si>
    <t>SPECKLED HIND</t>
  </si>
  <si>
    <t>EPINEPHELUS FLAVOLIMBATUS</t>
  </si>
  <si>
    <t>YELLOWEDGE GROUPER</t>
  </si>
  <si>
    <t>EPINEPHELUS GUTTATUS</t>
  </si>
  <si>
    <t>RED HIND</t>
  </si>
  <si>
    <t>EPINEPHELUS MORIO</t>
  </si>
  <si>
    <t>RED GROUPER</t>
  </si>
  <si>
    <t>EPINEPHELUS MYSTACINUS</t>
  </si>
  <si>
    <t>MISTY GROUPER</t>
  </si>
  <si>
    <t>EPINEPHELUS NIGRITUS</t>
  </si>
  <si>
    <t>WARSAW GROUPER</t>
  </si>
  <si>
    <t>EPINEPHELUS NIVEATUS</t>
  </si>
  <si>
    <t>SNOWY GROUPER</t>
  </si>
  <si>
    <t>EPINEPHELUS STRIATUS</t>
  </si>
  <si>
    <t>NASSAU GROUPER</t>
  </si>
  <si>
    <t>GROUPER GENUS MYCTEROPERCA</t>
  </si>
  <si>
    <t>MYCTEROPERCA MICROLEPIS</t>
  </si>
  <si>
    <t>GAG</t>
  </si>
  <si>
    <t>MYCTEROPERCA BONACI</t>
  </si>
  <si>
    <t>BLACK GROUPER</t>
  </si>
  <si>
    <t>MYCTEROPERCA INTERSTITIALIS</t>
  </si>
  <si>
    <t>YELLOWMOUTH GROUPER</t>
  </si>
  <si>
    <t>MYCTEROPERCA PHENAX</t>
  </si>
  <si>
    <t>MYCTEROPERCA VENENOSA</t>
  </si>
  <si>
    <t>YELLOWFIN GROUPER</t>
  </si>
  <si>
    <t>MYCTEROPERCA RUBRA</t>
  </si>
  <si>
    <t>COMB GROUPER</t>
  </si>
  <si>
    <t>MYCTEROPERCA TIGRIS</t>
  </si>
  <si>
    <t>TIGER GROUPER</t>
  </si>
  <si>
    <t>EPINEPHELUS AFER</t>
  </si>
  <si>
    <t>MUTTON HAMLET</t>
  </si>
  <si>
    <t>EPINEPHALUS FULVA</t>
  </si>
  <si>
    <t>CONEY</t>
  </si>
  <si>
    <t>EPINEPHELUS INERMIS</t>
  </si>
  <si>
    <t>MARBLED GROUPER</t>
  </si>
  <si>
    <t>SAND PERCH GENUS</t>
  </si>
  <si>
    <t>DIPLECTRUM FORMOSUM</t>
  </si>
  <si>
    <t>SAND PERCH</t>
  </si>
  <si>
    <t>DIPLECTRUM BIVITTATUM</t>
  </si>
  <si>
    <t>DWARF SAND PERCH</t>
  </si>
  <si>
    <t>HEMANTHIAS LEPTUS</t>
  </si>
  <si>
    <t>LONGTAIL BASS</t>
  </si>
  <si>
    <t>HYPOPLECTRUS UNICOLOR</t>
  </si>
  <si>
    <t>BUTTER HAMLET</t>
  </si>
  <si>
    <t>LIOPROPOMA EUKRINES</t>
  </si>
  <si>
    <t>WRASSE BASS</t>
  </si>
  <si>
    <t>PARANTHIAS FURCIFER</t>
  </si>
  <si>
    <t>CREOLE-FISH</t>
  </si>
  <si>
    <t>EPINEPHELUS CRUENTATUS</t>
  </si>
  <si>
    <t>GRAYSBY</t>
  </si>
  <si>
    <t>PIKEA MEXICANA</t>
  </si>
  <si>
    <t>YELLOWTAIL BASS</t>
  </si>
  <si>
    <t>SCHULTZEA BETA</t>
  </si>
  <si>
    <t>SCHOOL BASS</t>
  </si>
  <si>
    <t>SERRANUS ATROBRANCHUS</t>
  </si>
  <si>
    <t>BLACKEAR BASS</t>
  </si>
  <si>
    <t>SERRANUS BALDWINI</t>
  </si>
  <si>
    <t>LANTERN BASS</t>
  </si>
  <si>
    <t>SERRANUS PHOEBE</t>
  </si>
  <si>
    <t>TATTLER</t>
  </si>
  <si>
    <t>SERRANUS SUBLIGARIUS</t>
  </si>
  <si>
    <t>BELTED SANDFISH</t>
  </si>
  <si>
    <t>SERRANUS TABACARIUS</t>
  </si>
  <si>
    <t>TOBACCOFISH</t>
  </si>
  <si>
    <t>POLYPRION AMERICANUS</t>
  </si>
  <si>
    <t>WRECKFISH</t>
  </si>
  <si>
    <t>EPINEPHELUS/MYCTEROPERCA SPP.</t>
  </si>
  <si>
    <t>UNIDENTIFIED GROUPER</t>
  </si>
  <si>
    <t>COOKEOLUS JAPONICUS</t>
  </si>
  <si>
    <t>BULLEYE</t>
  </si>
  <si>
    <t>APOGONIDAE</t>
  </si>
  <si>
    <t>CARDINALFISH FAMILY</t>
  </si>
  <si>
    <t>APOGON MACULATUS</t>
  </si>
  <si>
    <t>FLAMEFISH</t>
  </si>
  <si>
    <t>MALACANTHIDAE</t>
  </si>
  <si>
    <t>TILEFISH FAMILY</t>
  </si>
  <si>
    <t>CAULOLATILUS CYANOPS</t>
  </si>
  <si>
    <t>BLACKLINE TILEFISH</t>
  </si>
  <si>
    <t>CAULOLATILUS MICROPS</t>
  </si>
  <si>
    <t>BLUELINE TILEFISH</t>
  </si>
  <si>
    <t>LOPHOLATILUS CHAMAELEONTICEPS</t>
  </si>
  <si>
    <t>TILEFISH</t>
  </si>
  <si>
    <t>MALACANTHUS PLUMIERI</t>
  </si>
  <si>
    <t>SAND TILEFISH</t>
  </si>
  <si>
    <t>RACHYCENTRON CANADUM</t>
  </si>
  <si>
    <t>CARANGIDAE</t>
  </si>
  <si>
    <t>JACK FAMILY</t>
  </si>
  <si>
    <t>TRACHURUS LATHAMI</t>
  </si>
  <si>
    <t>ROUGH SCAD</t>
  </si>
  <si>
    <t>ALECTIS CILIARIS</t>
  </si>
  <si>
    <t>AFRICAN POMPANO</t>
  </si>
  <si>
    <t>JACK GENUS</t>
  </si>
  <si>
    <t>CARANX BARTHOLOMAEI</t>
  </si>
  <si>
    <t>YELLOW JACK</t>
  </si>
  <si>
    <t>CARANX HIPPOS</t>
  </si>
  <si>
    <t>CREVALLE JACK</t>
  </si>
  <si>
    <t>CARANX LATUS</t>
  </si>
  <si>
    <t>HORSE-EYE JACK</t>
  </si>
  <si>
    <t>CARANX CRYSOS</t>
  </si>
  <si>
    <t>BLUE RUNNER</t>
  </si>
  <si>
    <t>CARANX LUGUBRIS</t>
  </si>
  <si>
    <t>BLACK JACK</t>
  </si>
  <si>
    <t>CARANX RUBER</t>
  </si>
  <si>
    <t>BAR JACK</t>
  </si>
  <si>
    <t>CHLOROSCOMBRUS CHRYSURUS</t>
  </si>
  <si>
    <t>ATLANTIC BUMPER</t>
  </si>
  <si>
    <t>OLIGOPLITES SAURUS</t>
  </si>
  <si>
    <t>LEATHERJACK</t>
  </si>
  <si>
    <t>SELAR CRUMENOPHTHALMUS</t>
  </si>
  <si>
    <t>BIGEYE SCAD</t>
  </si>
  <si>
    <t>SELENE VOMER</t>
  </si>
  <si>
    <t>LOOKDOWN</t>
  </si>
  <si>
    <t>AMBERJACK GENUS</t>
  </si>
  <si>
    <t>SERIOLA DUMERILI</t>
  </si>
  <si>
    <t>GREATER AMBERJACK</t>
  </si>
  <si>
    <t>SERIOLA FASCIATA</t>
  </si>
  <si>
    <t>LESSER AMBERJACK</t>
  </si>
  <si>
    <t>SERIOLA RIVOLIANA</t>
  </si>
  <si>
    <t>ALMACO JACK</t>
  </si>
  <si>
    <t>SERIOLA ZONATA</t>
  </si>
  <si>
    <t>BANDED RUDDERFISH</t>
  </si>
  <si>
    <t>TRACHINOTUS CAROLINUS</t>
  </si>
  <si>
    <t>FLORIDA POMPANO</t>
  </si>
  <si>
    <t>TRACHINOTUS FALCATUS</t>
  </si>
  <si>
    <t>PERMIT</t>
  </si>
  <si>
    <t>TRACHINOTUS GOODEI</t>
  </si>
  <si>
    <t>PALOMETA</t>
  </si>
  <si>
    <t>SELENE SETAPINNIS</t>
  </si>
  <si>
    <t>ATLANTIC MOONFISH</t>
  </si>
  <si>
    <t>DECAPTERUS MACARELLUS</t>
  </si>
  <si>
    <t>MACKEREL SCAD</t>
  </si>
  <si>
    <t>DECAPTERUS PUNCTATUS</t>
  </si>
  <si>
    <t>ROUND SCAD</t>
  </si>
  <si>
    <t>DECAPTERUS TABL</t>
  </si>
  <si>
    <t>REDTAIL SCAD</t>
  </si>
  <si>
    <t>ELAGATIS BIPINNULATA</t>
  </si>
  <si>
    <t>RAINBOW RUNNER</t>
  </si>
  <si>
    <t>HEMICARANX AMBLYRHYNCHUS</t>
  </si>
  <si>
    <t>BLUNTNOSE JACK</t>
  </si>
  <si>
    <t>URASPIS SECUNDA</t>
  </si>
  <si>
    <t>COTTONMOUTH JACK</t>
  </si>
  <si>
    <t>DOLPHIN GENUS</t>
  </si>
  <si>
    <t>CORYPHAENA HIPPURUS</t>
  </si>
  <si>
    <t>DOLPHIN</t>
  </si>
  <si>
    <t>CORYPHAENA EQUISETIS</t>
  </si>
  <si>
    <t>POMPANO DOLPHIN</t>
  </si>
  <si>
    <t>LUTJANIDAE</t>
  </si>
  <si>
    <t>SNAPPER FAMILY</t>
  </si>
  <si>
    <t>SNAPPER GENUS</t>
  </si>
  <si>
    <t>LUTJANUS CYANOPTERUS</t>
  </si>
  <si>
    <t>CUBERA SNAPPER</t>
  </si>
  <si>
    <t>LUTJANUS GRISEUS</t>
  </si>
  <si>
    <t>GRAY SNAPPER</t>
  </si>
  <si>
    <t>LUTJANUS ANALIS</t>
  </si>
  <si>
    <t>MUTTON SNAPPER</t>
  </si>
  <si>
    <t>LUTJANUS APODUS</t>
  </si>
  <si>
    <t>SCHOOLMASTER</t>
  </si>
  <si>
    <t>LUTJANUS BUCCANELLA</t>
  </si>
  <si>
    <t>BLACKFIN SNAPPER</t>
  </si>
  <si>
    <t>LUTJANUS CAMPECHANUS</t>
  </si>
  <si>
    <t>RED SNAPPER</t>
  </si>
  <si>
    <t>LUTJANUS JOCU</t>
  </si>
  <si>
    <t>DOG SNAPPER</t>
  </si>
  <si>
    <t>LUTJANUS MAHOGONI</t>
  </si>
  <si>
    <t>MAHOGANY SNAPPER</t>
  </si>
  <si>
    <t>LUTJANUS SYNAGRIS</t>
  </si>
  <si>
    <t>LANE SNAPPER</t>
  </si>
  <si>
    <t>LUTJANUS VIVANUS</t>
  </si>
  <si>
    <t>SILK SNAPPER</t>
  </si>
  <si>
    <t>APSILUS DENTATUS</t>
  </si>
  <si>
    <t>BLACK SNAPPER</t>
  </si>
  <si>
    <t>ETELIS OCULATUS</t>
  </si>
  <si>
    <t>QUEEN SNAPPER</t>
  </si>
  <si>
    <t>OCYURUS CHRYSURUS</t>
  </si>
  <si>
    <t>YELLOWTAIL SNAPPER</t>
  </si>
  <si>
    <t>RHOMBOPLITES AURORUBENS</t>
  </si>
  <si>
    <t>VERMILION SNAPPER</t>
  </si>
  <si>
    <t>PRISTIPOMOIDES AQUILONARIS</t>
  </si>
  <si>
    <t>GERREIDAE</t>
  </si>
  <si>
    <t>MOJARRA FAMILY</t>
  </si>
  <si>
    <t>EUCINOSTOMUS ARGENTEUS</t>
  </si>
  <si>
    <t>SPOTFIN MOJARRA</t>
  </si>
  <si>
    <t>EUCINOSTOMUS GULA</t>
  </si>
  <si>
    <t>SILVER JENNY</t>
  </si>
  <si>
    <t>EUCINOSTOMUS LEFROYI</t>
  </si>
  <si>
    <t>MOTTLED MOJARRA</t>
  </si>
  <si>
    <t>EUCINOSTOMUS MELANOPTERUS</t>
  </si>
  <si>
    <t>FLAGFIN MOJARRA</t>
  </si>
  <si>
    <t>EUCINOSTOMUS JONESI</t>
  </si>
  <si>
    <t>SLENDER MOJARRA</t>
  </si>
  <si>
    <t>EUCINOSTOMUS HAVANA</t>
  </si>
  <si>
    <t>BIGEYE MOJARRA</t>
  </si>
  <si>
    <t>DIAPTERUS AURATUS</t>
  </si>
  <si>
    <t>IRISH POMPANO</t>
  </si>
  <si>
    <t>DIAPTERUS PLUMIERI</t>
  </si>
  <si>
    <t>STRIPED MOJARRA</t>
  </si>
  <si>
    <t>GERRES CINEREUS</t>
  </si>
  <si>
    <t>YELLOWFIN MOJARRA</t>
  </si>
  <si>
    <t>HAEMULIDAE</t>
  </si>
  <si>
    <t>GRUNT FAMILY</t>
  </si>
  <si>
    <t>GRUNT GENUS</t>
  </si>
  <si>
    <t>HAEMULON AUROLINEATUM</t>
  </si>
  <si>
    <t>TOMTATE</t>
  </si>
  <si>
    <t>HAEMULON PLUMIERI</t>
  </si>
  <si>
    <t>WHITE GRUNT</t>
  </si>
  <si>
    <t>HAEMULON ALBUM</t>
  </si>
  <si>
    <t>MARGATE</t>
  </si>
  <si>
    <t>HAEMULON CARBONARIUM</t>
  </si>
  <si>
    <t>CAESAR GRUNT</t>
  </si>
  <si>
    <t>HAEMULON CHRYSARGYREUM</t>
  </si>
  <si>
    <t>SMALLMOUTH GRUNT</t>
  </si>
  <si>
    <t>HAEMULON FLAVOLINEATUM</t>
  </si>
  <si>
    <t>FRENCH GRUNT</t>
  </si>
  <si>
    <t>HAEMULON MACROSTOMUM</t>
  </si>
  <si>
    <t>SPANISH GRUNT</t>
  </si>
  <si>
    <t>HAEMULON MELANURUM</t>
  </si>
  <si>
    <t>COTTONWICK</t>
  </si>
  <si>
    <t>HAEMULON SCIURUS</t>
  </si>
  <si>
    <t>BLUESTRIPED GRUNT</t>
  </si>
  <si>
    <t>HAEMULON STRIATUM</t>
  </si>
  <si>
    <t>STRIPED GRUNT</t>
  </si>
  <si>
    <t>HAEMULON PARRA</t>
  </si>
  <si>
    <t>SAILORS CHOICE</t>
  </si>
  <si>
    <t>ORTHOPRISTIS CHRYSOPTERA</t>
  </si>
  <si>
    <t>PIGFISH</t>
  </si>
  <si>
    <t>ANISOTREMUS SURINAMENSIS</t>
  </si>
  <si>
    <t>BLACK MARGATE</t>
  </si>
  <si>
    <t>ANISOTREMUS VIRGINICUS</t>
  </si>
  <si>
    <t>PORKFISH</t>
  </si>
  <si>
    <t>CONODON NOBILIS</t>
  </si>
  <si>
    <t>BARRED GRUNT</t>
  </si>
  <si>
    <t>POMADASYS CROCRO</t>
  </si>
  <si>
    <t>BURRO GRUNT</t>
  </si>
  <si>
    <t>SPARIDAE</t>
  </si>
  <si>
    <t>PORGY FAMILY</t>
  </si>
  <si>
    <t>STENOTOMUS CHRYSOPS</t>
  </si>
  <si>
    <t>SCUP</t>
  </si>
  <si>
    <t>STENOTOMUS CAPRINUS</t>
  </si>
  <si>
    <t>LONGSPINE PORGY</t>
  </si>
  <si>
    <t>LAGODON RHOMBOIDES</t>
  </si>
  <si>
    <t>PINFISH</t>
  </si>
  <si>
    <t>ARCHOSARGUS PROBATOCEPHALUS</t>
  </si>
  <si>
    <t>ARCHOSARGUS RHOMBOIDALIS</t>
  </si>
  <si>
    <t>SEA BREAM</t>
  </si>
  <si>
    <t>DIPLODUS HOLBROOKI</t>
  </si>
  <si>
    <t>SPOTTAIL PINFISH</t>
  </si>
  <si>
    <t>DIPLODUS ARGENTEUS</t>
  </si>
  <si>
    <t>SILVER PORGY</t>
  </si>
  <si>
    <t>CALAMUS ARCTIFRONS</t>
  </si>
  <si>
    <t>GRASS PORGY</t>
  </si>
  <si>
    <t>CALAMUS BAJONADO</t>
  </si>
  <si>
    <t>JOLTHEAD PORGY</t>
  </si>
  <si>
    <t>CALAMUS CALAMUS</t>
  </si>
  <si>
    <t>SAUCEREYE PORGY</t>
  </si>
  <si>
    <t>CALAMUS LEUCOSTEUS</t>
  </si>
  <si>
    <t>WHITEBONE PORGY</t>
  </si>
  <si>
    <t>CALAMUS NODOSUS</t>
  </si>
  <si>
    <t>KNOBBED PORGY</t>
  </si>
  <si>
    <t>CALAMUS PENNA</t>
  </si>
  <si>
    <t>SHEEPSHEAD PORGY</t>
  </si>
  <si>
    <t>CALAMUS PRORIDENS</t>
  </si>
  <si>
    <t>LITTLEHEAD PORGY</t>
  </si>
  <si>
    <t>CALAMUS PENNATULA</t>
  </si>
  <si>
    <t>PLUMA PORGY</t>
  </si>
  <si>
    <t>PAGRUS PAGRUS</t>
  </si>
  <si>
    <t>RED PORGY</t>
  </si>
  <si>
    <t>SCIAENIDAE</t>
  </si>
  <si>
    <t>DRUM FAMILY</t>
  </si>
  <si>
    <t>SEATROUT GENUS</t>
  </si>
  <si>
    <t>CYNOSCION NEBULOSUS</t>
  </si>
  <si>
    <t>SPOTTED SEATROUT</t>
  </si>
  <si>
    <t>CYNOSCION NOTHUS</t>
  </si>
  <si>
    <t>SILVER SEATROUT</t>
  </si>
  <si>
    <t>CYNOSCION REGALIS</t>
  </si>
  <si>
    <t>WEAKFISH</t>
  </si>
  <si>
    <t>CYNOSCION ARENARIUS</t>
  </si>
  <si>
    <t>SAND SEATROUT</t>
  </si>
  <si>
    <t>BAIRDIELLA CHRYSOURA</t>
  </si>
  <si>
    <t>SILVER PERCH</t>
  </si>
  <si>
    <t>BAIRDIELLA BATABANA</t>
  </si>
  <si>
    <t>BLUE CROAKER</t>
  </si>
  <si>
    <t>BAIRDIELLA SANCTAELUCIAE</t>
  </si>
  <si>
    <t>STRIPED CROAKER</t>
  </si>
  <si>
    <t>LEIOSTOMUS XANTHURUS</t>
  </si>
  <si>
    <t>LARIMUS FASCIATUS</t>
  </si>
  <si>
    <t>BANDED DRUM</t>
  </si>
  <si>
    <t>KINGFISH GENUS</t>
  </si>
  <si>
    <t>MENTICIRRHUS AMERICANUS</t>
  </si>
  <si>
    <t>SOUTHERN KINGFISH</t>
  </si>
  <si>
    <t>MENTICIRRHUS LITTORALIS</t>
  </si>
  <si>
    <t>GULF KINGFISH</t>
  </si>
  <si>
    <t>MENTICIRRHUS SAXATILIS</t>
  </si>
  <si>
    <t>NORTHERN KINGFISH</t>
  </si>
  <si>
    <t>MICROPOGONIAS UNDULATUS</t>
  </si>
  <si>
    <t>ATLANTIC CROAKER</t>
  </si>
  <si>
    <t>MICROPOGONIAS FURNIERI</t>
  </si>
  <si>
    <t>WHITEMOUTH CROAKER</t>
  </si>
  <si>
    <t>POGONIAS CROMIS</t>
  </si>
  <si>
    <t>BLACK DRUM</t>
  </si>
  <si>
    <t>SCIAENOPS OCELLATUS</t>
  </si>
  <si>
    <t>RED DRUM</t>
  </si>
  <si>
    <t>STELLIFER LANCEOLATUS</t>
  </si>
  <si>
    <t>STAR DRUM</t>
  </si>
  <si>
    <t>UMBRINA COROIDES</t>
  </si>
  <si>
    <t>SAND DRUM</t>
  </si>
  <si>
    <t>EQUETUS ACUMINATUS</t>
  </si>
  <si>
    <t>HIGH-HAT</t>
  </si>
  <si>
    <t>EQUETUS LANCEOLATUS</t>
  </si>
  <si>
    <t>JACKKNIFE-FISH</t>
  </si>
  <si>
    <t>EQUETUS PUNCTATUS</t>
  </si>
  <si>
    <t>SPOTTED DRUM</t>
  </si>
  <si>
    <t>EQUETUS UMBROSUS</t>
  </si>
  <si>
    <t>CUBBYU</t>
  </si>
  <si>
    <t>EQUETUS IWAMOTOI</t>
  </si>
  <si>
    <t>BLACKBAR DRUM</t>
  </si>
  <si>
    <t>ODONTOSCION DENTEX</t>
  </si>
  <si>
    <t>REEF CROAKER</t>
  </si>
  <si>
    <t>MULLIDAE</t>
  </si>
  <si>
    <t>GOATFISH FAMILY</t>
  </si>
  <si>
    <t>MULLOIDICHTHYS MARTINICUS</t>
  </si>
  <si>
    <t>YELLOW GOATFISH</t>
  </si>
  <si>
    <t>MULLUS AURATUS</t>
  </si>
  <si>
    <t>RED GOATFISH</t>
  </si>
  <si>
    <t>PSEUDUPENEUS MACULATUS</t>
  </si>
  <si>
    <t>SPOTTED GOATFISH</t>
  </si>
  <si>
    <t>SEA CHUB GENUS</t>
  </si>
  <si>
    <t>KYPHOSUS INCISOR</t>
  </si>
  <si>
    <t>YELLOW CHUB</t>
  </si>
  <si>
    <t>KYPHOSUS SECTATRIX</t>
  </si>
  <si>
    <t>BERMUDA CHUB</t>
  </si>
  <si>
    <t>CHAETODIPTERUS FABER</t>
  </si>
  <si>
    <t>ATLANTIC SPADEFISH</t>
  </si>
  <si>
    <t>MUGILIDAE</t>
  </si>
  <si>
    <t>MULLET FAMILY</t>
  </si>
  <si>
    <t>MULLET GENUS</t>
  </si>
  <si>
    <t>MUGIL CEPHALUS</t>
  </si>
  <si>
    <t>STRIPED MULLET</t>
  </si>
  <si>
    <t>MUGIL CUREMA</t>
  </si>
  <si>
    <t>WHITE MULLET</t>
  </si>
  <si>
    <t>MUGIL GAIMARDIANUS</t>
  </si>
  <si>
    <t>REDEYE MULLET</t>
  </si>
  <si>
    <t>MUGIL LIZA</t>
  </si>
  <si>
    <t>LIZA</t>
  </si>
  <si>
    <t>MUGIL GYRANS</t>
  </si>
  <si>
    <t>FANTAIL MULLET</t>
  </si>
  <si>
    <t>AGONOSTOMUS MONTICOLA</t>
  </si>
  <si>
    <t>MOUNTAIN MULLET</t>
  </si>
  <si>
    <t>BARRACUDA GENUS</t>
  </si>
  <si>
    <t>SPHYRAENA BOREALIS</t>
  </si>
  <si>
    <t>NORTHERN SENNET</t>
  </si>
  <si>
    <t>SPHYRAENA GUACHANCHO</t>
  </si>
  <si>
    <t>GUAGUANCHE</t>
  </si>
  <si>
    <t>SPHYRAENA BARRACUDA</t>
  </si>
  <si>
    <t>GREAT BARRACUDA</t>
  </si>
  <si>
    <t>SPHYRAENA PICUDILLA</t>
  </si>
  <si>
    <t>SOUTHERN SENNET</t>
  </si>
  <si>
    <t>POLYDACTYLUS SPP.</t>
  </si>
  <si>
    <t>THREADFIN GENUS</t>
  </si>
  <si>
    <t>POLYDACTYLUS OCTONEMUS</t>
  </si>
  <si>
    <t>ATLANTIC THREADFIN</t>
  </si>
  <si>
    <t>POLYDACTYLUS VIRGINICUS</t>
  </si>
  <si>
    <t>BARBU</t>
  </si>
  <si>
    <t>POLYDACTYLUS OLIGODON</t>
  </si>
  <si>
    <t>LITTLESCALE THREADFIN</t>
  </si>
  <si>
    <t>WOLFFISH GENUS</t>
  </si>
  <si>
    <t>ANARHICHAS DENTICULATUS</t>
  </si>
  <si>
    <t>NORTHERN WOLFFISH</t>
  </si>
  <si>
    <t>ANARHICHAS LUPUS</t>
  </si>
  <si>
    <t>ATLANTIC WOLFFISH</t>
  </si>
  <si>
    <t>ANARHICHAS MINOR</t>
  </si>
  <si>
    <t>SPOTTED WOLFFISH</t>
  </si>
  <si>
    <t>CRYPTACANTHODES MACULATUS</t>
  </si>
  <si>
    <t>WRYMOUTH</t>
  </si>
  <si>
    <t>AMMODYTES SPP.</t>
  </si>
  <si>
    <t>SAND LANCE GENUS</t>
  </si>
  <si>
    <t>AMMODYTES AMERICANUS</t>
  </si>
  <si>
    <t>AMERICAN SAND LANCE</t>
  </si>
  <si>
    <t>AMMODYTES DUBIUS</t>
  </si>
  <si>
    <t>NORTHERN SAND LANCE</t>
  </si>
  <si>
    <t>TRICHIURUS LEPTURUS</t>
  </si>
  <si>
    <t>ATLANTIC CUTLASSFISH</t>
  </si>
  <si>
    <t>SCOMBRIDAE</t>
  </si>
  <si>
    <t>MACKEREL FAMILY</t>
  </si>
  <si>
    <t>KATSUWONUS PELAMIS</t>
  </si>
  <si>
    <t>SKIPJACK TUNA</t>
  </si>
  <si>
    <t>EUTHYNNUS ALLETTERATUS</t>
  </si>
  <si>
    <t>LITTLE TUNNY</t>
  </si>
  <si>
    <t>SARDA SARDA</t>
  </si>
  <si>
    <t>ATLANTIC BONITO</t>
  </si>
  <si>
    <t>SCOMBER JAPONICUS</t>
  </si>
  <si>
    <t>CHUB MACKEREL</t>
  </si>
  <si>
    <t>SCOMBER SCOMBRUS</t>
  </si>
  <si>
    <t>ATLANTIC MACKEREL</t>
  </si>
  <si>
    <t>TUNA GENUS</t>
  </si>
  <si>
    <t>THUNNUS ALALUNGA</t>
  </si>
  <si>
    <t>ALBACORE</t>
  </si>
  <si>
    <t>THUNNUS THYNNUS</t>
  </si>
  <si>
    <t>BLUEFIN TUNA</t>
  </si>
  <si>
    <t>THUNNUS ALBACARES</t>
  </si>
  <si>
    <t>YELLOWFIN TUNA</t>
  </si>
  <si>
    <t>THUNNUS ATLANTICUS</t>
  </si>
  <si>
    <t>BLACKFIN TUNA</t>
  </si>
  <si>
    <t>THUNNUS OBESUS</t>
  </si>
  <si>
    <t>BIGEYE TUNA</t>
  </si>
  <si>
    <t>MACKEREL GENUS</t>
  </si>
  <si>
    <t>SCOMBEROMORUS CAVALLA</t>
  </si>
  <si>
    <t>KING MACKEREL</t>
  </si>
  <si>
    <t>SCOMBEROMORUS MACULATUS</t>
  </si>
  <si>
    <t>SPANISH MACKEREL</t>
  </si>
  <si>
    <t>SCOMBEROMORUS REGALIS</t>
  </si>
  <si>
    <t>CERO</t>
  </si>
  <si>
    <t>ACANTHOCYBIUM SOLANDRI</t>
  </si>
  <si>
    <t>WAHOO</t>
  </si>
  <si>
    <t>AUXIS ROCHEI</t>
  </si>
  <si>
    <t>BULLET MACKEREL</t>
  </si>
  <si>
    <t>AUXIS THAZARD</t>
  </si>
  <si>
    <t>FRIGATE MACKEREL</t>
  </si>
  <si>
    <t>HYPEROGLYPHE PERCIFORMIS</t>
  </si>
  <si>
    <t>BARRELFISH</t>
  </si>
  <si>
    <t>ARIOMMA BONDI</t>
  </si>
  <si>
    <t>SILVER-RAG</t>
  </si>
  <si>
    <t>CUBICEPS PAUCIRADIATUS</t>
  </si>
  <si>
    <t>BIGEYE CIGARFISH</t>
  </si>
  <si>
    <t>STROMATEIDAE</t>
  </si>
  <si>
    <t>BUTTERFISH FAMILY</t>
  </si>
  <si>
    <t>PEPRILUS TRIACANTHUS</t>
  </si>
  <si>
    <t>PEPRILUS BURTI</t>
  </si>
  <si>
    <t>GULF BUTTERFISH</t>
  </si>
  <si>
    <t>PEPRILUS ALEPIDOTUS</t>
  </si>
  <si>
    <t>HARVESTFISH</t>
  </si>
  <si>
    <t>PLEURONECTIFORMES</t>
  </si>
  <si>
    <t>UNIDENTIFIED FLOUNDER OR SOLE</t>
  </si>
  <si>
    <t>BOTHIDAE</t>
  </si>
  <si>
    <t>LEFTEYE FLOUNDER FAMILY</t>
  </si>
  <si>
    <t>CITHARICHTHYS SPP.</t>
  </si>
  <si>
    <t>WHIFF GENUS</t>
  </si>
  <si>
    <t>CITHARICHTHYS ARCTIFRONS</t>
  </si>
  <si>
    <t>GULF STREAM FLOUNDER</t>
  </si>
  <si>
    <t>CITHARICHTHYS MACROPS</t>
  </si>
  <si>
    <t>SPOTTED WHIFF</t>
  </si>
  <si>
    <t>CITHARICHTHYS SPILOPTERUS</t>
  </si>
  <si>
    <t>BAY WHIFF</t>
  </si>
  <si>
    <t>ETROPUS CROSSOTUS</t>
  </si>
  <si>
    <t>FRINGED FLOUNDER</t>
  </si>
  <si>
    <t>ETROPUS MICROSTOMUS</t>
  </si>
  <si>
    <t>SMALLMOUTH FLOUNDER</t>
  </si>
  <si>
    <t>ETROPUS RIMOSUS</t>
  </si>
  <si>
    <t>GRAY FLOUNDER</t>
  </si>
  <si>
    <t>LEFTEYE FLOUNDER GENUS</t>
  </si>
  <si>
    <t>PARALICHTHYS DENTATUS</t>
  </si>
  <si>
    <t>SUMMER FLOUNDER</t>
  </si>
  <si>
    <t>PARALICHTHYS ALBIGUTTA</t>
  </si>
  <si>
    <t>GULF FLOUNDER</t>
  </si>
  <si>
    <t>PARALICHTHYS LETHOSTIGMA</t>
  </si>
  <si>
    <t>SOUTHERN FLOUNDER</t>
  </si>
  <si>
    <t>PARALICHTHYS OBLONGUS</t>
  </si>
  <si>
    <t>FOURSPOT FLOUNDER</t>
  </si>
  <si>
    <t>PARALICHTHYS SQUAMILENTUS</t>
  </si>
  <si>
    <t>BROAD FLOUNDER</t>
  </si>
  <si>
    <t>SCOPHTHALMUS AQUOSUS</t>
  </si>
  <si>
    <t>WINDOWPANE</t>
  </si>
  <si>
    <t>ANCYLOPSETTA DILECTA</t>
  </si>
  <si>
    <t>THREE-EYE FLOUNDER</t>
  </si>
  <si>
    <t>ANCYLOPSETTA QUADROCELLATA</t>
  </si>
  <si>
    <t>OCELLATED FLOUNDER</t>
  </si>
  <si>
    <t>BOTHUS LUNATUS</t>
  </si>
  <si>
    <t>PEACOCK FLOUNDER</t>
  </si>
  <si>
    <t>CHASCANOPSETTA LUGUBRIS</t>
  </si>
  <si>
    <t>PELICAN FLOUNDER</t>
  </si>
  <si>
    <t>CYCLOPSETTA CHITTENDENI</t>
  </si>
  <si>
    <t>MEXICAN FLOUNDER</t>
  </si>
  <si>
    <t>CYCLOPSETTA FIMBRIATA</t>
  </si>
  <si>
    <t>SPOTFIN FLOUNDER</t>
  </si>
  <si>
    <t>MONOLENE SESSILICAUDA</t>
  </si>
  <si>
    <t>DEEPWATER FLOUNDER</t>
  </si>
  <si>
    <t>SYACIUM GUNTERI</t>
  </si>
  <si>
    <t>SHOAL FLOUNDER</t>
  </si>
  <si>
    <t>SYACIUM PAPILLOSUM</t>
  </si>
  <si>
    <t>DUSKY FLOUNDER</t>
  </si>
  <si>
    <t>PLEURONECTIDAE</t>
  </si>
  <si>
    <t>RIGHTEYE FLOUNDER FAMILY</t>
  </si>
  <si>
    <t>PLEURONECTES FERRUGINEUS</t>
  </si>
  <si>
    <t>YELLOWTAIL FLOUNDER</t>
  </si>
  <si>
    <t>PLEURONECTES PUTNAMI</t>
  </si>
  <si>
    <t>SMOOTH FLOUNDER</t>
  </si>
  <si>
    <t>HIPPOGLOSSUS HIPPOGLOSSUS</t>
  </si>
  <si>
    <t>ATLANTIC HALIBUT</t>
  </si>
  <si>
    <t>PLEURONECTES AMERICANUS</t>
  </si>
  <si>
    <t>WINTER FLOUNDER</t>
  </si>
  <si>
    <t>SOLEIDAE</t>
  </si>
  <si>
    <t>SOLE FAMILY</t>
  </si>
  <si>
    <t>TRINECTES MACULATUS</t>
  </si>
  <si>
    <t>HOGCHOKER</t>
  </si>
  <si>
    <t>ACHIRUS LINEATUS</t>
  </si>
  <si>
    <t>LINED SOLE</t>
  </si>
  <si>
    <t>GYMNACHIRUS MELAS</t>
  </si>
  <si>
    <t>NAKED SOLE</t>
  </si>
  <si>
    <t>GYMNACHIRUS TEXAE</t>
  </si>
  <si>
    <t>FRINGED SOLE</t>
  </si>
  <si>
    <t>TONGUEFISH GENUS</t>
  </si>
  <si>
    <t>SYMPHURUS PLAGIUSA</t>
  </si>
  <si>
    <t>BLACKCHEEK TONGUE</t>
  </si>
  <si>
    <t>BALISTES CAPRISCUS</t>
  </si>
  <si>
    <t>GRAY TRIGGERFISH</t>
  </si>
  <si>
    <t>BALISTES VETULA</t>
  </si>
  <si>
    <t>QUEEN TRIGGERFISH</t>
  </si>
  <si>
    <t>CANTHIDERMIS MACULATA</t>
  </si>
  <si>
    <t>ROUGH TRIGGERFISH</t>
  </si>
  <si>
    <t>MELICHTHYS NIGER</t>
  </si>
  <si>
    <t>BLACK DURGON</t>
  </si>
  <si>
    <t>0-20m</t>
  </si>
  <si>
    <r>
      <t>biomass (t WWT km</t>
    </r>
    <r>
      <rPr>
        <vertAlign val="superscript"/>
        <sz val="11"/>
        <color indexed="8"/>
        <rFont val="Calibri"/>
        <family val="2"/>
      </rPr>
      <t>-2</t>
    </r>
    <r>
      <rPr>
        <sz val="11"/>
        <color indexed="8"/>
        <rFont val="Calibri"/>
        <family val="2"/>
      </rPr>
      <t>)</t>
    </r>
  </si>
  <si>
    <t>relative fraction</t>
  </si>
  <si>
    <r>
      <t xml:space="preserve">ALOSA </t>
    </r>
    <r>
      <rPr>
        <sz val="11"/>
        <color indexed="8"/>
        <rFont val="Calibri"/>
        <family val="2"/>
      </rPr>
      <t>SPP.</t>
    </r>
  </si>
  <si>
    <r>
      <t xml:space="preserve">SPHYRNA </t>
    </r>
    <r>
      <rPr>
        <sz val="11"/>
        <color indexed="8"/>
        <rFont val="Calibri"/>
        <family val="2"/>
      </rPr>
      <t>SPP.</t>
    </r>
  </si>
  <si>
    <r>
      <t xml:space="preserve">ANARHICHAS </t>
    </r>
    <r>
      <rPr>
        <sz val="11"/>
        <color indexed="8"/>
        <rFont val="Calibri"/>
        <family val="2"/>
      </rPr>
      <t>SPP.</t>
    </r>
  </si>
  <si>
    <r>
      <t>PARALICHTHYS</t>
    </r>
    <r>
      <rPr>
        <sz val="11"/>
        <color indexed="8"/>
        <rFont val="Calibri"/>
        <family val="2"/>
      </rPr>
      <t xml:space="preserve"> SPP.</t>
    </r>
  </si>
  <si>
    <r>
      <t>CENTROPOMUS</t>
    </r>
    <r>
      <rPr>
        <sz val="11"/>
        <color indexed="8"/>
        <rFont val="Calibri"/>
        <family val="2"/>
      </rPr>
      <t xml:space="preserve"> SPP.</t>
    </r>
  </si>
  <si>
    <r>
      <t>CARANX</t>
    </r>
    <r>
      <rPr>
        <sz val="11"/>
        <color indexed="8"/>
        <rFont val="Calibri"/>
        <family val="2"/>
      </rPr>
      <t xml:space="preserve"> SPP.</t>
    </r>
  </si>
  <si>
    <r>
      <t xml:space="preserve">SERIOLA </t>
    </r>
    <r>
      <rPr>
        <sz val="11"/>
        <color indexed="8"/>
        <rFont val="Calibri"/>
        <family val="2"/>
      </rPr>
      <t>SPP.</t>
    </r>
  </si>
  <si>
    <r>
      <t xml:space="preserve">CORYPHAENA </t>
    </r>
    <r>
      <rPr>
        <sz val="11"/>
        <color indexed="8"/>
        <rFont val="Calibri"/>
        <family val="2"/>
      </rPr>
      <t>SPP.</t>
    </r>
  </si>
  <si>
    <r>
      <t xml:space="preserve">THUNNUS </t>
    </r>
    <r>
      <rPr>
        <sz val="11"/>
        <color indexed="8"/>
        <rFont val="Calibri"/>
        <family val="2"/>
      </rPr>
      <t>SPP.</t>
    </r>
  </si>
  <si>
    <r>
      <t xml:space="preserve">SCOMBEROMORUS </t>
    </r>
    <r>
      <rPr>
        <sz val="11"/>
        <color indexed="8"/>
        <rFont val="Calibri"/>
        <family val="2"/>
      </rPr>
      <t>SPP.</t>
    </r>
  </si>
  <si>
    <r>
      <t>BREVOORTIA</t>
    </r>
    <r>
      <rPr>
        <sz val="11"/>
        <color indexed="8"/>
        <rFont val="Calibri"/>
        <family val="2"/>
      </rPr>
      <t xml:space="preserve"> SPP.</t>
    </r>
  </si>
  <si>
    <r>
      <t xml:space="preserve">MUGIL </t>
    </r>
    <r>
      <rPr>
        <sz val="11"/>
        <color indexed="8"/>
        <rFont val="Calibri"/>
        <family val="2"/>
      </rPr>
      <t>SPP.</t>
    </r>
  </si>
  <si>
    <r>
      <t xml:space="preserve">ALOPIAS </t>
    </r>
    <r>
      <rPr>
        <sz val="11"/>
        <color indexed="8"/>
        <rFont val="Calibri"/>
        <family val="2"/>
      </rPr>
      <t>SPP.</t>
    </r>
  </si>
  <si>
    <r>
      <t>MUSTELUS</t>
    </r>
    <r>
      <rPr>
        <sz val="11"/>
        <color indexed="8"/>
        <rFont val="Calibri"/>
        <family val="2"/>
      </rPr>
      <t xml:space="preserve"> SPP.</t>
    </r>
  </si>
  <si>
    <r>
      <t xml:space="preserve">HOLOCENTRUS </t>
    </r>
    <r>
      <rPr>
        <sz val="11"/>
        <color indexed="8"/>
        <rFont val="Calibri"/>
        <family val="2"/>
      </rPr>
      <t>SPP.</t>
    </r>
  </si>
  <si>
    <r>
      <t xml:space="preserve">DIPLECTRUM </t>
    </r>
    <r>
      <rPr>
        <sz val="11"/>
        <color indexed="8"/>
        <rFont val="Calibri"/>
        <family val="2"/>
      </rPr>
      <t>SPP.</t>
    </r>
  </si>
  <si>
    <r>
      <t xml:space="preserve">HAEMULON </t>
    </r>
    <r>
      <rPr>
        <sz val="11"/>
        <color indexed="8"/>
        <rFont val="Calibri"/>
        <family val="2"/>
      </rPr>
      <t>SPP.</t>
    </r>
  </si>
  <si>
    <r>
      <t>KYPHOSUS</t>
    </r>
    <r>
      <rPr>
        <sz val="11"/>
        <color indexed="8"/>
        <rFont val="Calibri"/>
        <family val="2"/>
      </rPr>
      <t xml:space="preserve"> SPP.</t>
    </r>
  </si>
  <si>
    <r>
      <t xml:space="preserve">SPHYRAENA </t>
    </r>
    <r>
      <rPr>
        <sz val="11"/>
        <color indexed="8"/>
        <rFont val="Calibri"/>
        <family val="2"/>
      </rPr>
      <t>SPP.</t>
    </r>
  </si>
  <si>
    <r>
      <t xml:space="preserve">RAJA </t>
    </r>
    <r>
      <rPr>
        <sz val="11"/>
        <color indexed="8"/>
        <rFont val="Calibri"/>
        <family val="2"/>
      </rPr>
      <t>SPP.</t>
    </r>
  </si>
  <si>
    <r>
      <t>DASYATIS</t>
    </r>
    <r>
      <rPr>
        <sz val="11"/>
        <color indexed="8"/>
        <rFont val="Calibri"/>
        <family val="2"/>
      </rPr>
      <t xml:space="preserve"> SPP.</t>
    </r>
  </si>
  <si>
    <r>
      <t>GYMNURA</t>
    </r>
    <r>
      <rPr>
        <sz val="11"/>
        <color indexed="8"/>
        <rFont val="Calibri"/>
        <family val="2"/>
      </rPr>
      <t xml:space="preserve"> SPP.</t>
    </r>
  </si>
  <si>
    <r>
      <t xml:space="preserve">SYNODUS </t>
    </r>
    <r>
      <rPr>
        <sz val="11"/>
        <color indexed="8"/>
        <rFont val="Calibri"/>
        <family val="2"/>
      </rPr>
      <t>SPP.</t>
    </r>
  </si>
  <si>
    <r>
      <t>UROPHYCIS</t>
    </r>
    <r>
      <rPr>
        <sz val="11"/>
        <color indexed="8"/>
        <rFont val="Calibri"/>
        <family val="2"/>
      </rPr>
      <t xml:space="preserve"> SPP.</t>
    </r>
  </si>
  <si>
    <r>
      <t>PRIONOTUS</t>
    </r>
    <r>
      <rPr>
        <sz val="11"/>
        <color indexed="8"/>
        <rFont val="Calibri"/>
        <family val="2"/>
      </rPr>
      <t xml:space="preserve"> SPP.</t>
    </r>
  </si>
  <si>
    <r>
      <t>MORONE</t>
    </r>
    <r>
      <rPr>
        <sz val="11"/>
        <color indexed="8"/>
        <rFont val="Calibri"/>
        <family val="2"/>
      </rPr>
      <t xml:space="preserve"> SPP.</t>
    </r>
  </si>
  <si>
    <r>
      <t>CYNOSCION</t>
    </r>
    <r>
      <rPr>
        <sz val="11"/>
        <color indexed="8"/>
        <rFont val="Calibri"/>
        <family val="2"/>
      </rPr>
      <t xml:space="preserve"> SPP.</t>
    </r>
  </si>
  <si>
    <r>
      <t xml:space="preserve">MENTICIRRHUS </t>
    </r>
    <r>
      <rPr>
        <sz val="11"/>
        <color indexed="8"/>
        <rFont val="Calibri"/>
        <family val="2"/>
      </rPr>
      <t>SPP.</t>
    </r>
  </si>
  <si>
    <r>
      <t>SYMPHURUS</t>
    </r>
    <r>
      <rPr>
        <sz val="11"/>
        <color indexed="8"/>
        <rFont val="Calibri"/>
        <family val="2"/>
      </rPr>
      <t xml:space="preserve"> SPP.</t>
    </r>
  </si>
  <si>
    <r>
      <t xml:space="preserve">CENTROPRISTIS </t>
    </r>
    <r>
      <rPr>
        <sz val="11"/>
        <color indexed="8"/>
        <rFont val="Calibri"/>
        <family val="2"/>
      </rPr>
      <t>SPP.</t>
    </r>
  </si>
  <si>
    <r>
      <t xml:space="preserve">MENIDIA </t>
    </r>
    <r>
      <rPr>
        <sz val="11"/>
        <color indexed="8"/>
        <rFont val="Calibri"/>
        <family val="2"/>
      </rPr>
      <t>SPP.</t>
    </r>
  </si>
  <si>
    <r>
      <t xml:space="preserve">EPINEPHELUS </t>
    </r>
    <r>
      <rPr>
        <sz val="11"/>
        <color indexed="8"/>
        <rFont val="Calibri"/>
        <family val="2"/>
      </rPr>
      <t>SPP.</t>
    </r>
  </si>
  <si>
    <r>
      <t xml:space="preserve">MYCTEROPERCA </t>
    </r>
    <r>
      <rPr>
        <sz val="11"/>
        <color indexed="8"/>
        <rFont val="Calibri"/>
        <family val="2"/>
      </rPr>
      <t>SPP.</t>
    </r>
  </si>
  <si>
    <r>
      <t>LUTJANUS</t>
    </r>
    <r>
      <rPr>
        <sz val="11"/>
        <color indexed="8"/>
        <rFont val="Calibri"/>
        <family val="2"/>
      </rPr>
      <t xml:space="preserve"> SPP.</t>
    </r>
  </si>
  <si>
    <t>Rationale for applying 'A'</t>
  </si>
  <si>
    <t>Scaling Factor 'A'</t>
  </si>
  <si>
    <t>Scaling Factor 'B'</t>
  </si>
  <si>
    <t>Rationale for applying 'B'</t>
  </si>
  <si>
    <t>Scaling Factor 'C'</t>
  </si>
  <si>
    <t>Rationale for applying 'C'</t>
  </si>
  <si>
    <r>
      <t xml:space="preserve">Perprilus </t>
    </r>
    <r>
      <rPr>
        <sz val="11"/>
        <color theme="1"/>
        <rFont val="Calibri"/>
        <family val="2"/>
        <scheme val="minor"/>
      </rPr>
      <t xml:space="preserve">spp. </t>
    </r>
    <r>
      <rPr>
        <i/>
        <sz val="11"/>
        <color theme="1"/>
        <rFont val="Calibri"/>
        <family val="2"/>
        <scheme val="minor"/>
      </rPr>
      <t>P. alepidotus, P. burti, P. paru, P. tricanthus</t>
    </r>
    <r>
      <rPr>
        <sz val="11"/>
        <color theme="1"/>
        <rFont val="Calibri"/>
        <family val="2"/>
        <scheme val="minor"/>
      </rPr>
      <t>, Stromateidae</t>
    </r>
  </si>
  <si>
    <r>
      <t xml:space="preserve">Paracalanidae, </t>
    </r>
    <r>
      <rPr>
        <i/>
        <sz val="11"/>
        <color theme="1"/>
        <rFont val="Calibri"/>
        <family val="2"/>
        <scheme val="minor"/>
      </rPr>
      <t>Oncaea</t>
    </r>
    <r>
      <rPr>
        <sz val="11"/>
        <color theme="1"/>
        <rFont val="Calibri"/>
        <family val="2"/>
        <scheme val="minor"/>
      </rPr>
      <t xml:space="preserve"> sp., </t>
    </r>
    <r>
      <rPr>
        <i/>
        <sz val="11"/>
        <color theme="1"/>
        <rFont val="Calibri"/>
        <family val="2"/>
        <scheme val="minor"/>
      </rPr>
      <t>Oithona</t>
    </r>
    <r>
      <rPr>
        <sz val="11"/>
        <color theme="1"/>
        <rFont val="Calibri"/>
        <family val="2"/>
        <scheme val="minor"/>
      </rPr>
      <t xml:space="preserve"> sp.</t>
    </r>
  </si>
  <si>
    <t>Browder 1990</t>
  </si>
  <si>
    <t>Aydin et al. 2007</t>
  </si>
  <si>
    <t>Pomeroy 2001</t>
  </si>
  <si>
    <t>Generally ranges 0.1 - 0.4 for zooplankton (Parsons et al. 1984)</t>
  </si>
  <si>
    <t>Assumed micrograzer PB should approach that of phytoplankton</t>
  </si>
  <si>
    <t>Browder (1990) for demersal predators</t>
  </si>
  <si>
    <t>Atlantic cutlassfish (Brown et al. 1991)</t>
  </si>
  <si>
    <t>Great barracuda (Brown et al. 1991)</t>
  </si>
  <si>
    <t>Arreguín-Sánchez et al. 1993</t>
  </si>
  <si>
    <t>Schwinghamer et al. (1986)</t>
  </si>
  <si>
    <t>Assumed as maximum</t>
  </si>
  <si>
    <r>
      <rPr>
        <i/>
        <sz val="11"/>
        <rFont val="Calibri"/>
        <family val="2"/>
        <scheme val="minor"/>
      </rPr>
      <t>P/B</t>
    </r>
    <r>
      <rPr>
        <sz val="11"/>
        <rFont val="Calibri"/>
        <family val="2"/>
        <scheme val="minor"/>
      </rPr>
      <t xml:space="preserve"> references</t>
    </r>
  </si>
  <si>
    <r>
      <rPr>
        <i/>
        <sz val="11"/>
        <color theme="1"/>
        <rFont val="Calibri"/>
        <family val="2"/>
        <scheme val="minor"/>
      </rPr>
      <t>Q/B</t>
    </r>
    <r>
      <rPr>
        <sz val="11"/>
        <color theme="1"/>
        <rFont val="Calibri"/>
        <family val="2"/>
        <scheme val="minor"/>
      </rPr>
      <t xml:space="preserve"> references</t>
    </r>
  </si>
  <si>
    <r>
      <rPr>
        <i/>
        <sz val="11"/>
        <color theme="1"/>
        <rFont val="Calibri"/>
        <family val="2"/>
        <scheme val="minor"/>
      </rPr>
      <t>P/Q</t>
    </r>
    <r>
      <rPr>
        <sz val="11"/>
        <color theme="1"/>
        <rFont val="Calibri"/>
        <family val="2"/>
        <scheme val="minor"/>
      </rPr>
      <t xml:space="preserve"> references</t>
    </r>
  </si>
  <si>
    <r>
      <rPr>
        <i/>
        <sz val="11"/>
        <color theme="1"/>
        <rFont val="Calibri"/>
        <family val="2"/>
        <scheme val="minor"/>
      </rPr>
      <t>AE</t>
    </r>
    <r>
      <rPr>
        <sz val="11"/>
        <color theme="1"/>
        <rFont val="Calibri"/>
        <family val="2"/>
        <scheme val="minor"/>
      </rPr>
      <t xml:space="preserve"> reference</t>
    </r>
  </si>
  <si>
    <r>
      <rPr>
        <i/>
        <sz val="11"/>
        <color theme="1"/>
        <rFont val="Calibri"/>
        <family val="2"/>
        <scheme val="minor"/>
      </rPr>
      <t>EE</t>
    </r>
    <r>
      <rPr>
        <sz val="11"/>
        <color theme="1"/>
        <rFont val="Calibri"/>
        <family val="2"/>
        <scheme val="minor"/>
      </rPr>
      <t xml:space="preserve"> reference</t>
    </r>
  </si>
  <si>
    <r>
      <t>(t km</t>
    </r>
    <r>
      <rPr>
        <vertAlign val="superscript"/>
        <sz val="11"/>
        <color theme="1"/>
        <rFont val="Calibri"/>
        <family val="2"/>
        <scheme val="minor"/>
      </rPr>
      <t>-2</t>
    </r>
    <r>
      <rPr>
        <sz val="11"/>
        <color theme="1"/>
        <rFont val="Calibri"/>
        <family val="2"/>
        <scheme val="minor"/>
      </rPr>
      <t xml:space="preserve"> yr</t>
    </r>
    <r>
      <rPr>
        <vertAlign val="superscript"/>
        <sz val="11"/>
        <color theme="1"/>
        <rFont val="Calibri"/>
        <family val="2"/>
        <scheme val="minor"/>
      </rPr>
      <t>-1</t>
    </r>
    <r>
      <rPr>
        <sz val="11"/>
        <color theme="1"/>
        <rFont val="Calibri"/>
        <family val="2"/>
        <scheme val="minor"/>
      </rPr>
      <t>)</t>
    </r>
  </si>
  <si>
    <r>
      <t>(y</t>
    </r>
    <r>
      <rPr>
        <vertAlign val="superscript"/>
        <sz val="11"/>
        <color theme="1"/>
        <rFont val="Calibri"/>
        <family val="2"/>
        <scheme val="minor"/>
      </rPr>
      <t>-1</t>
    </r>
    <r>
      <rPr>
        <sz val="11"/>
        <color theme="1"/>
        <rFont val="Calibri"/>
        <family val="2"/>
        <scheme val="minor"/>
      </rPr>
      <t>)</t>
    </r>
  </si>
  <si>
    <r>
      <t xml:space="preserve">Average of chaetognath and Mnemiopsis </t>
    </r>
    <r>
      <rPr>
        <i/>
        <sz val="11"/>
        <rFont val="Calibri"/>
        <family val="2"/>
        <scheme val="minor"/>
      </rPr>
      <t>P/B</t>
    </r>
    <r>
      <rPr>
        <sz val="11"/>
        <rFont val="Calibri"/>
        <family val="2"/>
        <scheme val="minor"/>
      </rPr>
      <t xml:space="preserve">. Mnemiopsis </t>
    </r>
    <r>
      <rPr>
        <i/>
        <sz val="11"/>
        <rFont val="Calibri"/>
        <family val="2"/>
        <scheme val="minor"/>
      </rPr>
      <t>P/B</t>
    </r>
    <r>
      <rPr>
        <sz val="11"/>
        <rFont val="Calibri"/>
        <family val="2"/>
        <scheme val="minor"/>
      </rPr>
      <t xml:space="preserve"> = </t>
    </r>
    <r>
      <rPr>
        <i/>
        <sz val="11"/>
        <rFont val="Calibri"/>
        <family val="2"/>
        <scheme val="minor"/>
      </rPr>
      <t>G</t>
    </r>
    <r>
      <rPr>
        <sz val="11"/>
        <rFont val="Calibri"/>
        <family val="2"/>
        <scheme val="minor"/>
      </rPr>
      <t xml:space="preserve">*365 = 14.24, where </t>
    </r>
    <r>
      <rPr>
        <i/>
        <sz val="11"/>
        <rFont val="Calibri"/>
        <family val="2"/>
        <scheme val="minor"/>
      </rPr>
      <t>G</t>
    </r>
    <r>
      <rPr>
        <sz val="11"/>
        <rFont val="Calibri"/>
        <family val="2"/>
        <scheme val="minor"/>
      </rPr>
      <t xml:space="preserve"> = 0.039 d</t>
    </r>
    <r>
      <rPr>
        <vertAlign val="superscript"/>
        <sz val="11"/>
        <rFont val="Calibri"/>
        <family val="2"/>
        <scheme val="minor"/>
      </rPr>
      <t>-1</t>
    </r>
    <r>
      <rPr>
        <sz val="11"/>
        <rFont val="Calibri"/>
        <family val="2"/>
        <scheme val="minor"/>
      </rPr>
      <t xml:space="preserve"> at 22°C. Chaetognath </t>
    </r>
    <r>
      <rPr>
        <i/>
        <sz val="11"/>
        <rFont val="Calibri"/>
        <family val="2"/>
        <scheme val="minor"/>
      </rPr>
      <t>P/B</t>
    </r>
    <r>
      <rPr>
        <sz val="11"/>
        <rFont val="Calibri"/>
        <family val="2"/>
        <scheme val="minor"/>
      </rPr>
      <t xml:space="preserve"> of 25.42 from Hirst 2003 for chaetognath 1550.69 µg at 15°C</t>
    </r>
  </si>
  <si>
    <t>macroalgae &amp; other</t>
  </si>
  <si>
    <t>micro-zooplankton</t>
  </si>
  <si>
    <t>meso-zooplankton</t>
  </si>
  <si>
    <t>macro-zooplankton</t>
  </si>
  <si>
    <t>eupahusiids</t>
  </si>
  <si>
    <t>gelatinous zoop</t>
  </si>
  <si>
    <t>forage fish</t>
  </si>
  <si>
    <t>pelagic fish - planktivore</t>
  </si>
  <si>
    <t>demersal fish - piscivore</t>
  </si>
  <si>
    <t>demersal fish - benthivore</t>
  </si>
  <si>
    <t>pelagic fish - apex predator</t>
  </si>
  <si>
    <t>pelagic fish - piscivore</t>
  </si>
  <si>
    <t>cepahlopods</t>
  </si>
  <si>
    <t>benthos - epifauna</t>
  </si>
  <si>
    <t>benthos - filter feeders</t>
  </si>
  <si>
    <t>benthos - infauna</t>
  </si>
  <si>
    <t>seabirds</t>
  </si>
  <si>
    <t>turtle</t>
  </si>
  <si>
    <t>detritus - pelagic</t>
  </si>
  <si>
    <t>detritus - offal</t>
  </si>
  <si>
    <t>detritus - benthic</t>
  </si>
  <si>
    <t>n</t>
  </si>
  <si>
    <t>a</t>
  </si>
  <si>
    <t>b</t>
  </si>
  <si>
    <t>Carybdea alata</t>
  </si>
  <si>
    <t>Chirodropus gorilla</t>
  </si>
  <si>
    <t>Porpita porpita</t>
  </si>
  <si>
    <t>Rhacostoma altantica</t>
  </si>
  <si>
    <t>Vella vellela</t>
  </si>
  <si>
    <t>Martinussen &amp; Båmstedt (1999)</t>
  </si>
  <si>
    <r>
      <t xml:space="preserve">from </t>
    </r>
    <r>
      <rPr>
        <i/>
        <sz val="11"/>
        <color indexed="8"/>
        <rFont val="Calibri"/>
        <family val="2"/>
      </rPr>
      <t>Cyanea capillata</t>
    </r>
  </si>
  <si>
    <t>Robinson unpublished</t>
  </si>
  <si>
    <r>
      <t xml:space="preserve">from </t>
    </r>
    <r>
      <rPr>
        <i/>
        <sz val="11"/>
        <color indexed="8"/>
        <rFont val="Calibri"/>
        <family val="2"/>
      </rPr>
      <t>Mnemiopsis leidyi</t>
    </r>
  </si>
  <si>
    <r>
      <t>from</t>
    </r>
    <r>
      <rPr>
        <i/>
        <sz val="11"/>
        <color indexed="8"/>
        <rFont val="Calibri"/>
        <family val="2"/>
      </rPr>
      <t xml:space="preserve"> Beroe ovata</t>
    </r>
  </si>
  <si>
    <r>
      <rPr>
        <i/>
        <sz val="11"/>
        <color indexed="8"/>
        <rFont val="Calibri"/>
        <family val="2"/>
      </rPr>
      <t>Aequorea</t>
    </r>
    <r>
      <rPr>
        <sz val="11"/>
        <color indexed="8"/>
        <rFont val="Calibri"/>
        <family val="2"/>
      </rPr>
      <t xml:space="preserve"> sp.</t>
    </r>
  </si>
  <si>
    <r>
      <rPr>
        <i/>
        <sz val="11"/>
        <color indexed="8"/>
        <rFont val="Calibri"/>
        <family val="2"/>
      </rPr>
      <t>Aurelia</t>
    </r>
    <r>
      <rPr>
        <sz val="11"/>
        <color indexed="8"/>
        <rFont val="Calibri"/>
        <family val="2"/>
      </rPr>
      <t xml:space="preserve"> sp.</t>
    </r>
  </si>
  <si>
    <r>
      <rPr>
        <i/>
        <sz val="11"/>
        <color indexed="8"/>
        <rFont val="Calibri"/>
        <family val="2"/>
      </rPr>
      <t xml:space="preserve">Chrysaora </t>
    </r>
    <r>
      <rPr>
        <sz val="11"/>
        <color indexed="8"/>
        <rFont val="Calibri"/>
        <family val="2"/>
      </rPr>
      <t>sp.</t>
    </r>
  </si>
  <si>
    <r>
      <rPr>
        <i/>
        <sz val="11"/>
        <color indexed="8"/>
        <rFont val="Calibri"/>
        <family val="2"/>
      </rPr>
      <t>Drymonema</t>
    </r>
    <r>
      <rPr>
        <sz val="11"/>
        <color indexed="8"/>
        <rFont val="Calibri"/>
        <family val="2"/>
      </rPr>
      <t xml:space="preserve"> sp.</t>
    </r>
  </si>
  <si>
    <r>
      <rPr>
        <i/>
        <sz val="11"/>
        <color indexed="8"/>
        <rFont val="Calibri"/>
        <family val="2"/>
      </rPr>
      <t>Pelagia</t>
    </r>
    <r>
      <rPr>
        <sz val="11"/>
        <color indexed="8"/>
        <rFont val="Calibri"/>
        <family val="2"/>
      </rPr>
      <t xml:space="preserve"> sp.</t>
    </r>
  </si>
  <si>
    <r>
      <rPr>
        <i/>
        <sz val="11"/>
        <color indexed="8"/>
        <rFont val="Calibri"/>
        <family val="2"/>
      </rPr>
      <t>Rhopilema</t>
    </r>
    <r>
      <rPr>
        <sz val="11"/>
        <color indexed="8"/>
        <rFont val="Calibri"/>
        <family val="2"/>
      </rPr>
      <t xml:space="preserve"> sp.</t>
    </r>
  </si>
  <si>
    <r>
      <rPr>
        <i/>
        <sz val="11"/>
        <color indexed="8"/>
        <rFont val="Calibri"/>
        <family val="2"/>
      </rPr>
      <t>Stomolophus</t>
    </r>
    <r>
      <rPr>
        <sz val="11"/>
        <color indexed="8"/>
        <rFont val="Calibri"/>
        <family val="2"/>
      </rPr>
      <t xml:space="preserve"> sp.</t>
    </r>
  </si>
  <si>
    <r>
      <rPr>
        <i/>
        <sz val="11"/>
        <color indexed="8"/>
        <rFont val="Calibri"/>
        <family val="2"/>
      </rPr>
      <t>Mnemiopsis</t>
    </r>
    <r>
      <rPr>
        <sz val="11"/>
        <color indexed="8"/>
        <rFont val="Calibri"/>
        <family val="2"/>
      </rPr>
      <t xml:space="preserve"> sp.</t>
    </r>
  </si>
  <si>
    <r>
      <rPr>
        <i/>
        <sz val="11"/>
        <color indexed="8"/>
        <rFont val="Calibri"/>
        <family val="2"/>
      </rPr>
      <t>Beroe</t>
    </r>
    <r>
      <rPr>
        <sz val="11"/>
        <color indexed="8"/>
        <rFont val="Calibri"/>
        <family val="2"/>
      </rPr>
      <t xml:space="preserve"> sp.</t>
    </r>
  </si>
  <si>
    <t>Species</t>
  </si>
  <si>
    <t>funcational group</t>
  </si>
  <si>
    <t>reference</t>
  </si>
  <si>
    <t>Taxa equation developed for</t>
  </si>
  <si>
    <t>Habitat</t>
  </si>
  <si>
    <t/>
  </si>
  <si>
    <t>HEPTRANCHIAS PERLO</t>
  </si>
  <si>
    <t>sharpnose sevengill shark</t>
  </si>
  <si>
    <t>demersal</t>
  </si>
  <si>
    <t>Atlantic angel shark</t>
  </si>
  <si>
    <t>TL</t>
  </si>
  <si>
    <t>spp</t>
  </si>
  <si>
    <t>bigeye thresher</t>
  </si>
  <si>
    <t>pelagic</t>
  </si>
  <si>
    <t>CARCHARHINUS</t>
  </si>
  <si>
    <t>Carcharhinidae</t>
  </si>
  <si>
    <t>gray sharks</t>
  </si>
  <si>
    <t>FL</t>
  </si>
  <si>
    <t>family mean</t>
  </si>
  <si>
    <t>from CARCHARHINUS ACRONOTUS</t>
  </si>
  <si>
    <t>blacknose shark</t>
  </si>
  <si>
    <t>silky shark</t>
  </si>
  <si>
    <t>bull shark</t>
  </si>
  <si>
    <t>blacktip shark</t>
  </si>
  <si>
    <t>spinner shark</t>
  </si>
  <si>
    <t>sandbar shark</t>
  </si>
  <si>
    <t>dusky shark</t>
  </si>
  <si>
    <t>night shark</t>
  </si>
  <si>
    <t>finetooth shark</t>
  </si>
  <si>
    <t>Atlantic sharpnose shark</t>
  </si>
  <si>
    <t>MUSTELUS</t>
  </si>
  <si>
    <t>Triakidae</t>
  </si>
  <si>
    <t>smooth hound sharks</t>
  </si>
  <si>
    <t>from MUSTELUS CANIS</t>
  </si>
  <si>
    <t>dusky smooth-hound</t>
  </si>
  <si>
    <t>Florida smoothhound</t>
  </si>
  <si>
    <t>MUSTELUS SINUSMEXICANUS</t>
  </si>
  <si>
    <t>Gulf smoothhound</t>
  </si>
  <si>
    <t>Sphyrnidae</t>
  </si>
  <si>
    <t>scalloped hammerhead</t>
  </si>
  <si>
    <t>from SPHYRNA TIBURO</t>
  </si>
  <si>
    <t>bonnethead</t>
  </si>
  <si>
    <t>Squalidae</t>
  </si>
  <si>
    <t>dogfish sharks</t>
  </si>
  <si>
    <t>from Squalus acanthias</t>
  </si>
  <si>
    <t>ETMOPTERUS</t>
  </si>
  <si>
    <t>lantern sharks</t>
  </si>
  <si>
    <t>ETMOPTERUS SCHULTZI</t>
  </si>
  <si>
    <t>fringefin lantern shark</t>
  </si>
  <si>
    <t>ETMOPTERUS VIRENS</t>
  </si>
  <si>
    <t>green lantern shark</t>
  </si>
  <si>
    <t>SQUALUS CUBENSIS</t>
  </si>
  <si>
    <t>Cuban dogfish</t>
  </si>
  <si>
    <t>Rhinobatidae</t>
  </si>
  <si>
    <t>Atlantic guitarfish</t>
  </si>
  <si>
    <t>from Rhinobatos cemiculus</t>
  </si>
  <si>
    <t>RAJA ACKLEYI</t>
  </si>
  <si>
    <t>Rajidae</t>
  </si>
  <si>
    <t>ocellate skate</t>
  </si>
  <si>
    <t>from Raja clavata</t>
  </si>
  <si>
    <t>clearnose skate</t>
  </si>
  <si>
    <t>rosette skate</t>
  </si>
  <si>
    <t>RAJA GARRICKI</t>
  </si>
  <si>
    <t>barndoor skate</t>
  </si>
  <si>
    <t>speckled skate</t>
  </si>
  <si>
    <t>RAJA OLSENI</t>
  </si>
  <si>
    <t>spreadfin skate</t>
  </si>
  <si>
    <t>RAJA OREGONI</t>
  </si>
  <si>
    <t>RAJA TEEVANI</t>
  </si>
  <si>
    <t>roundel skate</t>
  </si>
  <si>
    <t>BREVIRAJA SPINOSA</t>
  </si>
  <si>
    <t>spinose skate</t>
  </si>
  <si>
    <t>DASYATIS</t>
  </si>
  <si>
    <t>Dasyatidae</t>
  </si>
  <si>
    <t>fintail stingrays</t>
  </si>
  <si>
    <t>from DASYATIS AMERICANA</t>
  </si>
  <si>
    <t>southern stingray</t>
  </si>
  <si>
    <t>clam cracker</t>
  </si>
  <si>
    <t>Atlantic stingray</t>
  </si>
  <si>
    <t>bluntnose stingray</t>
  </si>
  <si>
    <t>spiny butterfly ray</t>
  </si>
  <si>
    <t>smooth butterfly ray</t>
  </si>
  <si>
    <t>UROLOPHUS JAMAICENCIS</t>
  </si>
  <si>
    <t>Myliobatidae</t>
  </si>
  <si>
    <t>bonnetray</t>
  </si>
  <si>
    <t>from MANTA BIROSTRIS</t>
  </si>
  <si>
    <t>MYLIOBATIS FREMINVILLII</t>
  </si>
  <si>
    <t>bullnose ray</t>
  </si>
  <si>
    <t>southern eagle ray</t>
  </si>
  <si>
    <t>Atlantic devil ray</t>
  </si>
  <si>
    <t>SPRINGERIA FOLIROSTRIS</t>
  </si>
  <si>
    <t>ANACANTHOBATIS LONGIROSTRIS</t>
  </si>
  <si>
    <t>longnose leg skate</t>
  </si>
  <si>
    <t>cownose ray</t>
  </si>
  <si>
    <t>RHINOPTERA BRASILIENSIS</t>
  </si>
  <si>
    <t>Brazilian cow-nosed ray</t>
  </si>
  <si>
    <t>NARCINE</t>
  </si>
  <si>
    <t>Narcinidae</t>
  </si>
  <si>
    <t>numbfishes</t>
  </si>
  <si>
    <t>from TORPEDO NOBILIANA</t>
  </si>
  <si>
    <t>NARCINE BRASILIENSIS</t>
  </si>
  <si>
    <t>lesser electric ray</t>
  </si>
  <si>
    <t>Atlantic torpedo</t>
  </si>
  <si>
    <t>Ginglymostomatidae</t>
  </si>
  <si>
    <t>nurse shark</t>
  </si>
  <si>
    <t>Clupeidae</t>
  </si>
  <si>
    <t>from ALOSA CHRYSOCHLORIS</t>
  </si>
  <si>
    <t>Alabama shad</t>
  </si>
  <si>
    <t>blue herring</t>
  </si>
  <si>
    <t>BREVOORTIA</t>
  </si>
  <si>
    <t>menhadens</t>
  </si>
  <si>
    <t>finescale menhaden</t>
  </si>
  <si>
    <t>DOROSOMA</t>
  </si>
  <si>
    <t>gizzard shads</t>
  </si>
  <si>
    <t>American gizzard shad</t>
  </si>
  <si>
    <t>threadfin shad</t>
  </si>
  <si>
    <t>Atlantic red herring</t>
  </si>
  <si>
    <t>scaled herring</t>
  </si>
  <si>
    <t>JENKINSIA LAMPROTAENIA</t>
  </si>
  <si>
    <t>dwarf herring</t>
  </si>
  <si>
    <t>Atlantic thread herring</t>
  </si>
  <si>
    <t>round sardinella</t>
  </si>
  <si>
    <t>Brazilian sardinella</t>
  </si>
  <si>
    <t>Engraulidae</t>
  </si>
  <si>
    <t>from ANCHOA LYOLEPIS</t>
  </si>
  <si>
    <t>ANCHOA</t>
  </si>
  <si>
    <t>common anchovies</t>
  </si>
  <si>
    <t>broad-striped anchovy</t>
  </si>
  <si>
    <t>big-eye anchovy</t>
  </si>
  <si>
    <t>bay anchovy</t>
  </si>
  <si>
    <t>from ANCHOA MITCHILLI</t>
  </si>
  <si>
    <t>ANCHOA CUBANA</t>
  </si>
  <si>
    <t>Cuban anchovy</t>
  </si>
  <si>
    <t>dusky anchovy</t>
  </si>
  <si>
    <t>ANCHOA NASUTA</t>
  </si>
  <si>
    <t>longnose anchovy</t>
  </si>
  <si>
    <t>camiguana anchovy</t>
  </si>
  <si>
    <t>ANCHOVIELLA PERFASCIATA</t>
  </si>
  <si>
    <t>flat anchovy</t>
  </si>
  <si>
    <t>ARGENTINA</t>
  </si>
  <si>
    <t>Argentinidae</t>
  </si>
  <si>
    <t>smelts</t>
  </si>
  <si>
    <t>from ARGENTINA STRIATA</t>
  </si>
  <si>
    <t>ARGENTINA STRIATA</t>
  </si>
  <si>
    <t>striated argentine</t>
  </si>
  <si>
    <t>ARGENTINA GEORGEI</t>
  </si>
  <si>
    <t>GONOSTOMATIDAE</t>
  </si>
  <si>
    <t>Gonostmatidae</t>
  </si>
  <si>
    <t>bristlemouths</t>
  </si>
  <si>
    <t>from GONOSTOMA ELONGATUM</t>
  </si>
  <si>
    <t>GONOSTOMA ELONGATUM</t>
  </si>
  <si>
    <t>longtooth anglemouth</t>
  </si>
  <si>
    <t>MAUROLICUS</t>
  </si>
  <si>
    <t>Sternoptychidae</t>
  </si>
  <si>
    <t>ARGYROPELECUS ACULEATUS</t>
  </si>
  <si>
    <t>from ARGYROPELECUS ACULEATUS</t>
  </si>
  <si>
    <t>MAUROLICUS MUELLERI</t>
  </si>
  <si>
    <t>pearlside</t>
  </si>
  <si>
    <t>POLLICHTHYS MAULI</t>
  </si>
  <si>
    <t>stareye lightfish</t>
  </si>
  <si>
    <t>POLYMETME CORYTHAEOLA</t>
  </si>
  <si>
    <t>STERNOPTYCHIDAE</t>
  </si>
  <si>
    <t>deepsea hatchetfishes</t>
  </si>
  <si>
    <t>Atlantic silver hatchetfish</t>
  </si>
  <si>
    <t>Elopidae</t>
  </si>
  <si>
    <t>from ELOPS SAURUS</t>
  </si>
  <si>
    <t>ladyfish</t>
  </si>
  <si>
    <t>Synodontidae</t>
  </si>
  <si>
    <t>Bombay ducks</t>
  </si>
  <si>
    <t>from TRACHINOCEPHALUS MYOPS</t>
  </si>
  <si>
    <t>bluntnose lizardfish</t>
  </si>
  <si>
    <t>SAURIDA</t>
  </si>
  <si>
    <t>from SAURIDA BRASILIENSIS</t>
  </si>
  <si>
    <t>largescale lizardfish</t>
  </si>
  <si>
    <t>SAURIDA CARIBBAEA</t>
  </si>
  <si>
    <t>smallscale lizardfish</t>
  </si>
  <si>
    <t>SAURIDA NORMANI</t>
  </si>
  <si>
    <t>shortjaw lizardfish</t>
  </si>
  <si>
    <t>SYNODUS</t>
  </si>
  <si>
    <t>lizard fishes</t>
  </si>
  <si>
    <t>inshore lizardfish</t>
  </si>
  <si>
    <t>sand diver</t>
  </si>
  <si>
    <t>offshore lizardfish</t>
  </si>
  <si>
    <t>red lizardfish</t>
  </si>
  <si>
    <t>MYCTOPHIDAE</t>
  </si>
  <si>
    <t>Myctophidae</t>
  </si>
  <si>
    <t>lanternfishes</t>
  </si>
  <si>
    <t>Bolinichthys photothorax for Myctophidae</t>
  </si>
  <si>
    <t>from DIAPHUS SPLENDIDUS</t>
  </si>
  <si>
    <t>DIAPHUS</t>
  </si>
  <si>
    <t>DIAPHUS SPLENDIDUS</t>
  </si>
  <si>
    <t>lanternfish</t>
  </si>
  <si>
    <t>LAMPANYCTUS</t>
  </si>
  <si>
    <t>NEOSCOPELUS MICROCHIR</t>
  </si>
  <si>
    <t>Ariidae</t>
  </si>
  <si>
    <t>hardhead catfish</t>
  </si>
  <si>
    <t>from ARIUS FELIS</t>
  </si>
  <si>
    <t>gafftopsail catfish</t>
  </si>
  <si>
    <t>American eel</t>
  </si>
  <si>
    <t>species</t>
  </si>
  <si>
    <t>Muraenidae</t>
  </si>
  <si>
    <t>green moray</t>
  </si>
  <si>
    <t>assumption for eels</t>
  </si>
  <si>
    <t>spotted moray</t>
  </si>
  <si>
    <t>blackedge moray</t>
  </si>
  <si>
    <t>GYMNOTHORAX OCELLATUS</t>
  </si>
  <si>
    <t>Caribbean ocellated moray</t>
  </si>
  <si>
    <t>honeycomb moray</t>
  </si>
  <si>
    <t>purplemouth moray</t>
  </si>
  <si>
    <t>GYMNOTHORAX KOLPOS</t>
  </si>
  <si>
    <t>blacktail moray</t>
  </si>
  <si>
    <t>reticulate moray</t>
  </si>
  <si>
    <t>ANARCHIAS YOSHIAE</t>
  </si>
  <si>
    <t>pygmy moray</t>
  </si>
  <si>
    <t>HOPLUNNIS</t>
  </si>
  <si>
    <t>Nettastomatidae</t>
  </si>
  <si>
    <t>HOPLUNNIS DIOMEDIANUS</t>
  </si>
  <si>
    <t>blacktail pike-conger</t>
  </si>
  <si>
    <t>freckled pike-conger</t>
  </si>
  <si>
    <t>HOPLUNNIS TENUIS</t>
  </si>
  <si>
    <t>spotted pike-conger</t>
  </si>
  <si>
    <t>NETTASTOMATIDAE</t>
  </si>
  <si>
    <t>duckbill eels</t>
  </si>
  <si>
    <t>SAURENCHELYS</t>
  </si>
  <si>
    <t>Congridae</t>
  </si>
  <si>
    <t>conger eels</t>
  </si>
  <si>
    <t>ARIOSOMA</t>
  </si>
  <si>
    <t>ARIOSOMA SELENOPS</t>
  </si>
  <si>
    <t>ARIOSOMA BELEARICUM</t>
  </si>
  <si>
    <t>CONGER</t>
  </si>
  <si>
    <t>conger eel</t>
  </si>
  <si>
    <t>CONGER TRIPORICEPS</t>
  </si>
  <si>
    <t>manytooth conger</t>
  </si>
  <si>
    <t>RHECHIAS VICINALIS</t>
  </si>
  <si>
    <t>CONGRINA</t>
  </si>
  <si>
    <t>UROCONGER SYRINGINUS</t>
  </si>
  <si>
    <t>threadtail conger</t>
  </si>
  <si>
    <t>PARACONGER CAUDILIMBATUS</t>
  </si>
  <si>
    <t>margintail conger</t>
  </si>
  <si>
    <t>GNATHOPHIS</t>
  </si>
  <si>
    <t>GNATHOPHIS BRACHEATOPOS</t>
  </si>
  <si>
    <t>longeye conger</t>
  </si>
  <si>
    <t>XENOMYSTAX</t>
  </si>
  <si>
    <t>yellow conger</t>
  </si>
  <si>
    <t>HILDEBRANDIA GRACILIOR</t>
  </si>
  <si>
    <t>whiptail conger</t>
  </si>
  <si>
    <t>ECHIOPHIS</t>
  </si>
  <si>
    <t>Ophichthidae</t>
  </si>
  <si>
    <t>ECHIOPHIS MORDAX</t>
  </si>
  <si>
    <t>snapper eel</t>
  </si>
  <si>
    <t>spotted spoon-nose eel</t>
  </si>
  <si>
    <t>ECHIOPHIS PUNCTIFER</t>
  </si>
  <si>
    <t>OPHICHTHUS</t>
  </si>
  <si>
    <t>snake eels</t>
  </si>
  <si>
    <t>OPHICHTHUS GOMESII</t>
  </si>
  <si>
    <t>shrimp eel</t>
  </si>
  <si>
    <t>OPHICHTHUS PUNCTICEPS</t>
  </si>
  <si>
    <t>palespotted eel</t>
  </si>
  <si>
    <t>OPHICHTHUS MELANOPORUS</t>
  </si>
  <si>
    <t>blackpored eel</t>
  </si>
  <si>
    <t>spotted snake eel</t>
  </si>
  <si>
    <t>OPHICHTHUS REX</t>
  </si>
  <si>
    <t>king snake eel</t>
  </si>
  <si>
    <t>OPHICHTHUS CRUENTIFER</t>
  </si>
  <si>
    <t>margined snake eel</t>
  </si>
  <si>
    <t>APLATOPHIS CHAULIODUS</t>
  </si>
  <si>
    <t>tusky eel</t>
  </si>
  <si>
    <t>GORDIICHTHYS</t>
  </si>
  <si>
    <t>MYROPHIS PLATYRHYNCHUS</t>
  </si>
  <si>
    <t>broadnose worm eel</t>
  </si>
  <si>
    <t>speckled worm eel</t>
  </si>
  <si>
    <t>DYSOMMA ANGUILLA</t>
  </si>
  <si>
    <t>Exocoetidae</t>
  </si>
  <si>
    <t>flyingfishes</t>
  </si>
  <si>
    <t>from Hirundichthys affinis</t>
  </si>
  <si>
    <t>EULEPTORHAMPHUS VELOX</t>
  </si>
  <si>
    <t>Hemiramphidae </t>
  </si>
  <si>
    <t>flying halfbeak</t>
  </si>
  <si>
    <t>TL2FL and TL2SL species; FL2TL and SL2TL from  Hemiramphus brasiliensis</t>
  </si>
  <si>
    <t>Hemiramphidae</t>
  </si>
  <si>
    <t>balao</t>
  </si>
  <si>
    <t>TL2FL species; FL2TL and SL2TL from  Hemiramphus brasiliensis</t>
  </si>
  <si>
    <t>ballyhoo</t>
  </si>
  <si>
    <t>FL2TL and SL2TL species; TL2FL from H. balo</t>
  </si>
  <si>
    <t>PAREXOCOETUS BRACHYPTERUS</t>
  </si>
  <si>
    <t>sailfin flyingfish</t>
  </si>
  <si>
    <t>TL2SL species; FL2TL and SL2TL Hirundichthys affinis</t>
  </si>
  <si>
    <t>CYPSELURUS CYANOPTERUS</t>
  </si>
  <si>
    <t>FL2TL &amp; SL2TL from CYPSELURUS CYANOPTERUS; TL2FL from Cheilopogon exsiliens</t>
  </si>
  <si>
    <t>CYPSELURUS EXSILIENS</t>
  </si>
  <si>
    <t>bandwing flyingfish</t>
  </si>
  <si>
    <t>from CYPSELURUS EXSILIENS</t>
  </si>
  <si>
    <t>CYPSELURUS FURCATUS</t>
  </si>
  <si>
    <t>FL2TL and SL2TL from CYPSELURUS CYANOPTERUS; TL2SL and TL2FL from CYPSELURUS FURCATUS</t>
  </si>
  <si>
    <t>HIRUNDICHTHYS AFFINIS</t>
  </si>
  <si>
    <t>fourwing flyingfish</t>
  </si>
  <si>
    <t>HIRUNDICHTHYS RONDELETII</t>
  </si>
  <si>
    <t>blackwing flyingfish</t>
  </si>
  <si>
    <t>TL2SL and TL2FL species; FL2TL Hirundichthys affinis</t>
  </si>
  <si>
    <t>PROGNICHTHYS GIBBIFRONS</t>
  </si>
  <si>
    <t>bluntnose flyingfish</t>
  </si>
  <si>
    <t>TL2SL and TL2FL species; FL2TL and SL2TL form Hirundichthys affinis</t>
  </si>
  <si>
    <t>Atlantic silverstripe halfbeak</t>
  </si>
  <si>
    <t>FL2TL and SL2TL species; TL2SL and TL2FL from H. balo</t>
  </si>
  <si>
    <t>UROPHYCIS</t>
  </si>
  <si>
    <t>Phycidae</t>
  </si>
  <si>
    <t>codlings</t>
  </si>
  <si>
    <t>codling</t>
  </si>
  <si>
    <t>from UROPHYCIS CIRRATUS</t>
  </si>
  <si>
    <t>UROPHYCIS CIRRATUS</t>
  </si>
  <si>
    <t>UROPHYCIS FLORIDANUS</t>
  </si>
  <si>
    <t>spotted codling</t>
  </si>
  <si>
    <t>Carolina hake</t>
  </si>
  <si>
    <t>LAEMONEMA BARBATULUM</t>
  </si>
  <si>
    <t>Moridae</t>
  </si>
  <si>
    <t>shortbeard codling</t>
  </si>
  <si>
    <t>from LAEMONEMA BARBATULUM</t>
  </si>
  <si>
    <t>PHYSICULUS FULVUS</t>
  </si>
  <si>
    <t>hakeling</t>
  </si>
  <si>
    <t>GADELLA IMBERBIS</t>
  </si>
  <si>
    <t>beardless codling</t>
  </si>
  <si>
    <t>BREGMACEROS</t>
  </si>
  <si>
    <t>Bregmacerotidae</t>
  </si>
  <si>
    <t>from BREGMACEROS ATLANTICUS</t>
  </si>
  <si>
    <t>BREGMACEROS ATLANTICUS</t>
  </si>
  <si>
    <t>antenna codlet</t>
  </si>
  <si>
    <t>BREGMACEROS CANTORI</t>
  </si>
  <si>
    <t>striped codlet</t>
  </si>
  <si>
    <t>MERLUCCIUS ALBIDUS</t>
  </si>
  <si>
    <t>Merlucciidae</t>
  </si>
  <si>
    <t>offshore hake</t>
  </si>
  <si>
    <t>from MERLUCCIUS ALBIDUS</t>
  </si>
  <si>
    <t>luminous hake</t>
  </si>
  <si>
    <t>MACROURIDAE</t>
  </si>
  <si>
    <t>Macrouridae</t>
  </si>
  <si>
    <t>grenadiers</t>
  </si>
  <si>
    <t>from Coelorinchus caelorhincus</t>
  </si>
  <si>
    <t>BATHYGADUS MELANOBRANCHUS</t>
  </si>
  <si>
    <t>Vaillant's grenadier</t>
  </si>
  <si>
    <t>CAELORINCHUS CARIBBAEUS</t>
  </si>
  <si>
    <t>blackfin grenadier</t>
  </si>
  <si>
    <t>CAELORINCHUS OCCA</t>
  </si>
  <si>
    <t>swordsnout grenadier</t>
  </si>
  <si>
    <t>CAELORINCHUS VENTRILUX</t>
  </si>
  <si>
    <t>NEZUMIA CYRANO</t>
  </si>
  <si>
    <t>MALACOCEPHALUS OCCIDENTALIS</t>
  </si>
  <si>
    <t>American straptail grenadier</t>
  </si>
  <si>
    <t>POLYMIXIA LOWEI</t>
  </si>
  <si>
    <t>Polymixiidae</t>
  </si>
  <si>
    <t>beardfish</t>
  </si>
  <si>
    <t>Holocentridae</t>
  </si>
  <si>
    <t>squirrelfish</t>
  </si>
  <si>
    <t>from HOLOCENTRUS ADSCENSIONIS</t>
  </si>
  <si>
    <t>deepwater squirrelfish</t>
  </si>
  <si>
    <t>reef squirrelfish</t>
  </si>
  <si>
    <t>CORNIGER SPINOSUS</t>
  </si>
  <si>
    <t>spinycheek soldierfish</t>
  </si>
  <si>
    <t>black mullet</t>
  </si>
  <si>
    <t>genus level; averaged coefficients for SL_2_TL for M. cephalus from Fishbase.org</t>
  </si>
  <si>
    <t>silver mullet</t>
  </si>
  <si>
    <t>SL</t>
  </si>
  <si>
    <t>species level; averaged coefficients for SL_2_Tl from Fishbase.org</t>
  </si>
  <si>
    <t>Atlantic silverside</t>
  </si>
  <si>
    <t>inland silverside</t>
  </si>
  <si>
    <t>from Menidia menidia</t>
  </si>
  <si>
    <t>MENIDIA PENINSULAE</t>
  </si>
  <si>
    <t>tidewater silverside</t>
  </si>
  <si>
    <t>Sphyraenidae</t>
  </si>
  <si>
    <t>great barracuda</t>
  </si>
  <si>
    <t>from SPHYRAENA GUACHANCHO</t>
  </si>
  <si>
    <t>northern sennet</t>
  </si>
  <si>
    <t>guaguanche</t>
  </si>
  <si>
    <t>southern sennet</t>
  </si>
  <si>
    <t>Polynemidae</t>
  </si>
  <si>
    <t>Atlantic threadfin</t>
  </si>
  <si>
    <t>PHENACOSCORPIUS NEBRIS</t>
  </si>
  <si>
    <t>Scorpaenidae</t>
  </si>
  <si>
    <t>from Pterois antennata</t>
  </si>
  <si>
    <t>PONTINUS LONGISPINIS</t>
  </si>
  <si>
    <t>longspine scorpionfish</t>
  </si>
  <si>
    <t>PONTINUS RATHBUNI</t>
  </si>
  <si>
    <t>highfin scorpionfish</t>
  </si>
  <si>
    <t>SCORPAENA</t>
  </si>
  <si>
    <t>scorpionfishes</t>
  </si>
  <si>
    <t>SCORPAENA AGASSIZII</t>
  </si>
  <si>
    <t>longfin scorpionfish</t>
  </si>
  <si>
    <t>barbfish</t>
  </si>
  <si>
    <t>SCORPAENA CALCARATA</t>
  </si>
  <si>
    <t>smoothhead scorpionfish</t>
  </si>
  <si>
    <t>SCORPAENA DISPAR</t>
  </si>
  <si>
    <t>hunchback scorpionfish</t>
  </si>
  <si>
    <t>SCORPAENA GRANDICORNIS</t>
  </si>
  <si>
    <t>plumed scorpionfish</t>
  </si>
  <si>
    <t>SCORPAENA INERMIS</t>
  </si>
  <si>
    <t>mushroom scorpionfish</t>
  </si>
  <si>
    <t>spotted scorpionfish</t>
  </si>
  <si>
    <t>NEOMERINTHE BEANORUM</t>
  </si>
  <si>
    <t>spinycheek scorpionfish</t>
  </si>
  <si>
    <t>SETARCHES GUENTHERI</t>
  </si>
  <si>
    <t>deepwater scorpionfish</t>
  </si>
  <si>
    <t>PERISTEDION GRACILE</t>
  </si>
  <si>
    <t>Triglidae</t>
  </si>
  <si>
    <t>slender searobin</t>
  </si>
  <si>
    <t>from BELLATOR BRACHYCHIR</t>
  </si>
  <si>
    <t>from Bellator gymnostethus</t>
  </si>
  <si>
    <t>armored searobin</t>
  </si>
  <si>
    <t>PRIONOTUS</t>
  </si>
  <si>
    <t>North American searobins</t>
  </si>
  <si>
    <t>spiny searobin</t>
  </si>
  <si>
    <t>PRIONOTUS BEANII</t>
  </si>
  <si>
    <t>common searobin</t>
  </si>
  <si>
    <t>barred searobin</t>
  </si>
  <si>
    <t>bandtail searobin</t>
  </si>
  <si>
    <t>Mexican searobin</t>
  </si>
  <si>
    <t>PRIONOTUS PUNCTATUS</t>
  </si>
  <si>
    <t>bluewing searobin</t>
  </si>
  <si>
    <t>bluespotted searobin</t>
  </si>
  <si>
    <t>bigeye searobin</t>
  </si>
  <si>
    <t>leopard searobin</t>
  </si>
  <si>
    <t>PRIONOTUS STEARNSI</t>
  </si>
  <si>
    <t>shortwing searobin</t>
  </si>
  <si>
    <t>bighead searobin</t>
  </si>
  <si>
    <t>blackfin searobin</t>
  </si>
  <si>
    <t>BELLATOR</t>
  </si>
  <si>
    <t>shortfin searobin</t>
  </si>
  <si>
    <t>streamer searobin</t>
  </si>
  <si>
    <t>horned searobin</t>
  </si>
  <si>
    <t>HEMILEPIDOTUS HEMILEPIDOTUS</t>
  </si>
  <si>
    <t>red Irish lord</t>
  </si>
  <si>
    <t>Serranidae</t>
  </si>
  <si>
    <t>groupers</t>
  </si>
  <si>
    <t>from DIPLECTRUM BIVITTATUM</t>
  </si>
  <si>
    <t>DIPLECTRUM</t>
  </si>
  <si>
    <t>perch</t>
  </si>
  <si>
    <t>sand perch</t>
  </si>
  <si>
    <t>dwarf sand perch</t>
  </si>
  <si>
    <t>EPINEPHELUS</t>
  </si>
  <si>
    <t>snowy grouper</t>
  </si>
  <si>
    <t>warsaw grouper</t>
  </si>
  <si>
    <t>rock hind</t>
  </si>
  <si>
    <t>speckled hind</t>
  </si>
  <si>
    <t>yellowedge grouper</t>
  </si>
  <si>
    <t>red hind</t>
  </si>
  <si>
    <t>goliath grouper</t>
  </si>
  <si>
    <t>red grouper</t>
  </si>
  <si>
    <t>GONIOPLECTRUS HISPANUS</t>
  </si>
  <si>
    <t>Spanish flag</t>
  </si>
  <si>
    <t>HYPOPLECTRUS</t>
  </si>
  <si>
    <t>butter hamlet</t>
  </si>
  <si>
    <t>HYPOPLECTRUS PUELLA</t>
  </si>
  <si>
    <t>barred hamlet</t>
  </si>
  <si>
    <t>black grouper</t>
  </si>
  <si>
    <t>yellowmouth grouper</t>
  </si>
  <si>
    <t>charcoal belly</t>
  </si>
  <si>
    <t>scamp</t>
  </si>
  <si>
    <t>Atlantic creolefish</t>
  </si>
  <si>
    <t>BATHYANTHIAS MEXICANA</t>
  </si>
  <si>
    <t>yellowtail bass</t>
  </si>
  <si>
    <t>SERRANUS</t>
  </si>
  <si>
    <t>blackear bass</t>
  </si>
  <si>
    <t>SERRANUS NOTOSPILUS</t>
  </si>
  <si>
    <t>saddle bass</t>
  </si>
  <si>
    <t>tattler</t>
  </si>
  <si>
    <t>belted sandfish</t>
  </si>
  <si>
    <t>CENTROPRISTIS</t>
  </si>
  <si>
    <t>black sea basses</t>
  </si>
  <si>
    <t>CENTROPRISTIS OCYURA</t>
  </si>
  <si>
    <t>CENTROPRISTIS PHILADELPHICUS</t>
  </si>
  <si>
    <t>Rock Sea bass</t>
  </si>
  <si>
    <t>CENTROPRISTIS STRIATUS</t>
  </si>
  <si>
    <t>black sea bass</t>
  </si>
  <si>
    <t>HEMANTHIAS VIVANUS</t>
  </si>
  <si>
    <t>red barbier</t>
  </si>
  <si>
    <t>longtail bass</t>
  </si>
  <si>
    <t>HEMANTHIAS AUREORUBENS</t>
  </si>
  <si>
    <t>streamer bass</t>
  </si>
  <si>
    <t>HOLANTHIAS MARTINICENSIS</t>
  </si>
  <si>
    <t>roughtongue bass</t>
  </si>
  <si>
    <t>SERRANICULUS PUMILIO</t>
  </si>
  <si>
    <t>pygmy sea bass</t>
  </si>
  <si>
    <t>school bass</t>
  </si>
  <si>
    <t>ANTHIAS NICHOLSI</t>
  </si>
  <si>
    <t>yellowfin bass</t>
  </si>
  <si>
    <t>Apogonidae</t>
  </si>
  <si>
    <t>cardinalfishes</t>
  </si>
  <si>
    <t>ASTRAPOGON ALUTUS</t>
  </si>
  <si>
    <t>bronze cardinalfish</t>
  </si>
  <si>
    <t>ASTRAPOGON PUNCTICULATUS</t>
  </si>
  <si>
    <t>blackfin cardinalfish</t>
  </si>
  <si>
    <t>APOGON</t>
  </si>
  <si>
    <t>APOGON AUROLINEATUS</t>
  </si>
  <si>
    <t>bridle cardinalfish</t>
  </si>
  <si>
    <t>flamefish</t>
  </si>
  <si>
    <t>APOGON AFFINIS</t>
  </si>
  <si>
    <t>bigtooth cardinalfish</t>
  </si>
  <si>
    <t>APOGON PSEUDOMACULATUS</t>
  </si>
  <si>
    <t>twospot cardinalfish</t>
  </si>
  <si>
    <t>APOGON QUADRISQUAMATUS</t>
  </si>
  <si>
    <t>sawcheek cardinalfish</t>
  </si>
  <si>
    <t>APOGON ALUTUS</t>
  </si>
  <si>
    <t>SYNAGROPS</t>
  </si>
  <si>
    <t>SYNAGROPS BELLA</t>
  </si>
  <si>
    <t>blackmouth bass</t>
  </si>
  <si>
    <t>SYNAGROPS SPINOSA</t>
  </si>
  <si>
    <t>CAULOLATILUS</t>
  </si>
  <si>
    <t>Malacanthidae</t>
  </si>
  <si>
    <t>from Caulolatilus intermedius</t>
  </si>
  <si>
    <t>blackline tilefish</t>
  </si>
  <si>
    <t>CAULOLATILUS INTERMEDIUS</t>
  </si>
  <si>
    <t>anchor tilefish</t>
  </si>
  <si>
    <t>blueline tilefish</t>
  </si>
  <si>
    <t>CAULOLATILUS CHRYSOPS</t>
  </si>
  <si>
    <t>goldface tilefish</t>
  </si>
  <si>
    <t>blue tilefish</t>
  </si>
  <si>
    <t>cobia</t>
  </si>
  <si>
    <t>Carangidae</t>
  </si>
  <si>
    <t>jacks</t>
  </si>
  <si>
    <t>from Chloroscombrus chrysurus</t>
  </si>
  <si>
    <t>African pompano</t>
  </si>
  <si>
    <t>yellow jack</t>
  </si>
  <si>
    <t>blue runner</t>
  </si>
  <si>
    <t>crevalle jack</t>
  </si>
  <si>
    <t>DECAPTERUS</t>
  </si>
  <si>
    <t>mackerel scads</t>
  </si>
  <si>
    <t>mackerel scad</t>
  </si>
  <si>
    <t>round scad</t>
  </si>
  <si>
    <t>bluntnose jack</t>
  </si>
  <si>
    <t>leatherjack</t>
  </si>
  <si>
    <t>bigeye scad</t>
  </si>
  <si>
    <t>SELENE</t>
  </si>
  <si>
    <t>moonfishes</t>
  </si>
  <si>
    <t>lookdown</t>
  </si>
  <si>
    <t>Atlantic moonfish</t>
  </si>
  <si>
    <t>SERIOLA</t>
  </si>
  <si>
    <t>amberfishes</t>
  </si>
  <si>
    <t>greater amberjack</t>
  </si>
  <si>
    <t>lesser amberjack</t>
  </si>
  <si>
    <t>almaco jack</t>
  </si>
  <si>
    <t>banded rubberfish</t>
  </si>
  <si>
    <t>Florida pompano</t>
  </si>
  <si>
    <t>permit</t>
  </si>
  <si>
    <t>rough scad</t>
  </si>
  <si>
    <t>cottonmouth jack</t>
  </si>
  <si>
    <t>Lutjanidae</t>
  </si>
  <si>
    <t>fusiliers</t>
  </si>
  <si>
    <t>from LUTJANUS CAMPECHANUS</t>
  </si>
  <si>
    <t>queen snapper</t>
  </si>
  <si>
    <t>LUTJANUS</t>
  </si>
  <si>
    <t>common snappers</t>
  </si>
  <si>
    <t>schoolmaster</t>
  </si>
  <si>
    <t>blackfin snapper</t>
  </si>
  <si>
    <t>red snapper</t>
  </si>
  <si>
    <t>gray snapper</t>
  </si>
  <si>
    <t>lane snapper</t>
  </si>
  <si>
    <t>silk snapper</t>
  </si>
  <si>
    <t>yellowtail snapper</t>
  </si>
  <si>
    <t>PRISTIPOMOIDES</t>
  </si>
  <si>
    <t>wenchman</t>
  </si>
  <si>
    <t>vermilion snapper</t>
  </si>
  <si>
    <t>EUCINOSTOMUS</t>
  </si>
  <si>
    <t>Gerreidae</t>
  </si>
  <si>
    <t>mojarras</t>
  </si>
  <si>
    <t>from EUCINOSTOMUS GULA</t>
  </si>
  <si>
    <t>spotfin mojarra</t>
  </si>
  <si>
    <t>silver jenny</t>
  </si>
  <si>
    <t>flagfin mojarra</t>
  </si>
  <si>
    <t>EUCINOSTOMUS HARENGULUS</t>
  </si>
  <si>
    <t>tidewater mojarra</t>
  </si>
  <si>
    <t>yellowfin mojarra</t>
  </si>
  <si>
    <t>Haemulidae</t>
  </si>
  <si>
    <t>grunts</t>
  </si>
  <si>
    <t>from HAEMULON AUROLINEATUM</t>
  </si>
  <si>
    <t>porkfish</t>
  </si>
  <si>
    <t>black margate</t>
  </si>
  <si>
    <t>barred grunt</t>
  </si>
  <si>
    <t>HAEMULON</t>
  </si>
  <si>
    <t>tomtate</t>
  </si>
  <si>
    <t>cottonwick</t>
  </si>
  <si>
    <t>white grunt</t>
  </si>
  <si>
    <t>bluestriped grunt</t>
  </si>
  <si>
    <t>striped grunt</t>
  </si>
  <si>
    <t>HAEMULON PARRAI</t>
  </si>
  <si>
    <t>sailors choice</t>
  </si>
  <si>
    <t>caesar grunt</t>
  </si>
  <si>
    <t>ORTHOPRISTIS CHRYSOPTERUS</t>
  </si>
  <si>
    <t>Sciaenidae</t>
  </si>
  <si>
    <t>coakers</t>
  </si>
  <si>
    <t>from CYNOSCION ARENARIUS</t>
  </si>
  <si>
    <t>silver perch</t>
  </si>
  <si>
    <t>blue croaker</t>
  </si>
  <si>
    <t>CYNOSCION</t>
  </si>
  <si>
    <t>sea trout</t>
  </si>
  <si>
    <t>samll demersal</t>
  </si>
  <si>
    <t>sand seatrout</t>
  </si>
  <si>
    <t>spotted seatrout</t>
  </si>
  <si>
    <t>silver seatrout</t>
  </si>
  <si>
    <t>EQUETUS</t>
  </si>
  <si>
    <t>ribbonfishes</t>
  </si>
  <si>
    <t>EQUETUS PULCHER</t>
  </si>
  <si>
    <t>high-hat</t>
  </si>
  <si>
    <t>jackknife fish</t>
  </si>
  <si>
    <t>cubbyu</t>
  </si>
  <si>
    <t>spotted drum</t>
  </si>
  <si>
    <t>blackbar drum</t>
  </si>
  <si>
    <t>banded drum</t>
  </si>
  <si>
    <t>spot</t>
  </si>
  <si>
    <t>jewsharp drummer</t>
  </si>
  <si>
    <t>Gulf kingfish</t>
  </si>
  <si>
    <t>Gulf minkfish</t>
  </si>
  <si>
    <t>Atlantic croaker</t>
  </si>
  <si>
    <t>reef croaker</t>
  </si>
  <si>
    <t>black drum</t>
  </si>
  <si>
    <t>SCIAENOPS OCELLATA</t>
  </si>
  <si>
    <t>star drum</t>
  </si>
  <si>
    <t>sand drum</t>
  </si>
  <si>
    <t>CALAMUS</t>
  </si>
  <si>
    <t>Sparidae</t>
  </si>
  <si>
    <t>from CALAMUS CALAMUS</t>
  </si>
  <si>
    <t>grass porgy</t>
  </si>
  <si>
    <t>jolthead porgy</t>
  </si>
  <si>
    <t>saucereye porgy</t>
  </si>
  <si>
    <t>whitebone porgy</t>
  </si>
  <si>
    <t>littlehead porgy</t>
  </si>
  <si>
    <t>knobbed porgy</t>
  </si>
  <si>
    <t>sheepshead porgy</t>
  </si>
  <si>
    <t>spottail pinfish</t>
  </si>
  <si>
    <t>pinfish</t>
  </si>
  <si>
    <t>red porgy</t>
  </si>
  <si>
    <t>longspine porgy</t>
  </si>
  <si>
    <t>sheepshead</t>
  </si>
  <si>
    <t>Mullidae</t>
  </si>
  <si>
    <t>yellow goatfish</t>
  </si>
  <si>
    <t>from other spp in family</t>
  </si>
  <si>
    <t>from UPENEUS PARVUS</t>
  </si>
  <si>
    <t>red goatfish</t>
  </si>
  <si>
    <t>UPENEUS</t>
  </si>
  <si>
    <t>UPENEUS PARVUS</t>
  </si>
  <si>
    <t>dwarf goatfish</t>
  </si>
  <si>
    <t>spotted goatfish</t>
  </si>
  <si>
    <t>Kyphosidae</t>
  </si>
  <si>
    <t>Bermuda chub</t>
  </si>
  <si>
    <t>from KYPHOSUS SECTATRIX</t>
  </si>
  <si>
    <t>Ephippidae</t>
  </si>
  <si>
    <t>Atlantic spadefish</t>
  </si>
  <si>
    <t>from CHAETODIPTERUS FABER</t>
  </si>
  <si>
    <t>Scombridae</t>
  </si>
  <si>
    <t>bullet mackerel</t>
  </si>
  <si>
    <t>from SCOMBER JAPONICUS</t>
  </si>
  <si>
    <t>false albacore</t>
  </si>
  <si>
    <t>chub mackerel</t>
  </si>
  <si>
    <t>Atlantic mackerel</t>
  </si>
  <si>
    <t>Atlantic bonito</t>
  </si>
  <si>
    <t>king mackerel</t>
  </si>
  <si>
    <t>Atlantic Spanish mackerel</t>
  </si>
  <si>
    <t>cero</t>
  </si>
  <si>
    <t>Trichiuridae</t>
  </si>
  <si>
    <t>from TRICHIURUS LEPTURUS</t>
  </si>
  <si>
    <t>Atlantic cutlassfish</t>
  </si>
  <si>
    <t>Stromateidae</t>
  </si>
  <si>
    <t>from PEPRILUS BURTI</t>
  </si>
  <si>
    <t>PEPRILUS</t>
  </si>
  <si>
    <t>harvestfishes</t>
  </si>
  <si>
    <t>harvestfish</t>
  </si>
  <si>
    <t>Gulf butterfish</t>
  </si>
  <si>
    <t>PEPRILUS PARU</t>
  </si>
  <si>
    <t>Ariommatidae</t>
  </si>
  <si>
    <t>silver-rag</t>
  </si>
  <si>
    <t>from ARIOMMA BONDI</t>
  </si>
  <si>
    <t>ARIOMMA MELANUM</t>
  </si>
  <si>
    <t>brown driftfish</t>
  </si>
  <si>
    <t>ARIOMMA REGULUS</t>
  </si>
  <si>
    <t>spotted driftfish</t>
  </si>
  <si>
    <t>Ophidiidae</t>
  </si>
  <si>
    <t>brotulas</t>
  </si>
  <si>
    <t>from LEPOPHIDIUM BREVIBARBE</t>
  </si>
  <si>
    <t>LEPOPHIDIUM</t>
  </si>
  <si>
    <t>LEPOPHIDIUM BREVIBARBE</t>
  </si>
  <si>
    <t>blackedge cusk-eel</t>
  </si>
  <si>
    <t>LEPOPHIDIUM JEANNAE</t>
  </si>
  <si>
    <t>mottled cusk-eel</t>
  </si>
  <si>
    <t>OPHIDION</t>
  </si>
  <si>
    <t>cusk-eels</t>
  </si>
  <si>
    <t>OPHIDION BEANI</t>
  </si>
  <si>
    <t>longnose cusk-eel</t>
  </si>
  <si>
    <t>blotched cusk-eel</t>
  </si>
  <si>
    <t>bank cusk-eel</t>
  </si>
  <si>
    <t>OPHIDION SELENOPS</t>
  </si>
  <si>
    <t>mooneye cusk-eel</t>
  </si>
  <si>
    <t>OPHIDION WELSHI</t>
  </si>
  <si>
    <t>crested cusk-eel</t>
  </si>
  <si>
    <t>OPHIDION MARGINATUM</t>
  </si>
  <si>
    <t>striped cusk-eel</t>
  </si>
  <si>
    <t>OTOPHIDIUM OMOSTIGMUM</t>
  </si>
  <si>
    <t>polka-dot cusk-eel</t>
  </si>
  <si>
    <t>OTOPHIDIUM DORMITATOR</t>
  </si>
  <si>
    <t>sleeper cusk-eel</t>
  </si>
  <si>
    <t>Bothidae</t>
  </si>
  <si>
    <t>lefteye flounders</t>
  </si>
  <si>
    <t>from CYCLOPSETTA CHITTENDENI</t>
  </si>
  <si>
    <t>pelican flounder</t>
  </si>
  <si>
    <t>CITHARICHTHYS CORNUTUS</t>
  </si>
  <si>
    <t>Paralichthyidae</t>
  </si>
  <si>
    <t>horned whiff</t>
  </si>
  <si>
    <t>spotted whiff</t>
  </si>
  <si>
    <t>bay whiff</t>
  </si>
  <si>
    <t>CITHARICHTHYS GYMNORHINUS</t>
  </si>
  <si>
    <t>anglefin whiff</t>
  </si>
  <si>
    <t>CITHARICHTHYS ARENACEUS</t>
  </si>
  <si>
    <t>sand whiff</t>
  </si>
  <si>
    <t>Mexican flounder</t>
  </si>
  <si>
    <t>spotfin flounder</t>
  </si>
  <si>
    <t>ETROPUS</t>
  </si>
  <si>
    <t>fringed flounder</t>
  </si>
  <si>
    <t>ETROPUS INTERMEDIUS</t>
  </si>
  <si>
    <t>smallmouth flounder</t>
  </si>
  <si>
    <t>gray flounder</t>
  </si>
  <si>
    <t>ETROPUS CYCLOSQUAMUS</t>
  </si>
  <si>
    <t>shelf flounder</t>
  </si>
  <si>
    <t>SYACIUM</t>
  </si>
  <si>
    <t>shoal flounder</t>
  </si>
  <si>
    <t>SYACIUM MICRURUM</t>
  </si>
  <si>
    <t>channel flounder</t>
  </si>
  <si>
    <t>dusky flounder</t>
  </si>
  <si>
    <t>ENGYOPHRYS SENTA</t>
  </si>
  <si>
    <t>spiny flounder</t>
  </si>
  <si>
    <t>GASTROPSETTA FRONTALIS</t>
  </si>
  <si>
    <t>shrimp flounder</t>
  </si>
  <si>
    <t>deepwater flounder</t>
  </si>
  <si>
    <t>TRICHOPSETTA VENTRALIS</t>
  </si>
  <si>
    <t>sash flounder</t>
  </si>
  <si>
    <t>three-eye flounder</t>
  </si>
  <si>
    <t>ocellated flounder</t>
  </si>
  <si>
    <t>BOTHUS</t>
  </si>
  <si>
    <t>peacock flounder</t>
  </si>
  <si>
    <t>BOTHUS OCELLATUS</t>
  </si>
  <si>
    <t>eyed flounder</t>
  </si>
  <si>
    <t>BOTHUS ROBINSI</t>
  </si>
  <si>
    <t>twospot flounder</t>
  </si>
  <si>
    <t>PARALICHTHYS</t>
  </si>
  <si>
    <t>southern flounders</t>
  </si>
  <si>
    <t>Gulf flounder</t>
  </si>
  <si>
    <t>fluke</t>
  </si>
  <si>
    <t>southern flounder</t>
  </si>
  <si>
    <t>broad flounder</t>
  </si>
  <si>
    <t>PARALICHTHYS TROPICUS</t>
  </si>
  <si>
    <t>Achiridae</t>
  </si>
  <si>
    <t>lined sole</t>
  </si>
  <si>
    <t>from GYMNACHIRUS MELAS</t>
  </si>
  <si>
    <t>hogchoker</t>
  </si>
  <si>
    <t>TRINECTES INSCRIPTUS</t>
  </si>
  <si>
    <t>scrawled sole</t>
  </si>
  <si>
    <t>naked sole</t>
  </si>
  <si>
    <t>fringed sole</t>
  </si>
  <si>
    <t>SYMPHURUS</t>
  </si>
  <si>
    <t>Cynoglossidae</t>
  </si>
  <si>
    <t>straightmouth tonguefishes</t>
  </si>
  <si>
    <t>from SYMPHURUS DIOMEDIANUS</t>
  </si>
  <si>
    <t>SYMPHURUS CIVITATUM</t>
  </si>
  <si>
    <t>SYMPHURUS DIOMEDIANUS</t>
  </si>
  <si>
    <t>SYMPHURUS PELICANUS</t>
  </si>
  <si>
    <t>longtail tonguefish</t>
  </si>
  <si>
    <t>SYMPHURUS MINOR</t>
  </si>
  <si>
    <t>largescale tonguefish</t>
  </si>
  <si>
    <t>blackcheek tonguefish</t>
  </si>
  <si>
    <t>SYMPHURUS UROSPILUS</t>
  </si>
  <si>
    <t>spottail tonguefish</t>
  </si>
  <si>
    <t>SYMPHURUS PIGER</t>
  </si>
  <si>
    <t>deepwater tonguefish</t>
  </si>
  <si>
    <t>SYMPHURUS PUSILLUS</t>
  </si>
  <si>
    <t>northern tonguefish</t>
  </si>
  <si>
    <t>SYMPHURUS PARVUS</t>
  </si>
  <si>
    <t>pygmy tonguefish</t>
  </si>
  <si>
    <t>gray triggerfish</t>
  </si>
  <si>
    <t>Batrachoididae</t>
  </si>
  <si>
    <t>Gulf toadfish</t>
  </si>
  <si>
    <t>from PORICHTHYS PLECTRODON</t>
  </si>
  <si>
    <t>leopard toadfish</t>
  </si>
  <si>
    <t>oyster toadfish</t>
  </si>
  <si>
    <t>Atlantic midshipman</t>
  </si>
  <si>
    <t>LOPHIUS</t>
  </si>
  <si>
    <t>LOPHIUS GASTROPHYSUS</t>
  </si>
  <si>
    <t>blackfin goosefish</t>
  </si>
  <si>
    <t>goosefish</t>
  </si>
  <si>
    <t>LOPHIODES RETICULATUS</t>
  </si>
  <si>
    <t>reticulate goosefish</t>
  </si>
  <si>
    <t>LOPHIODES BEROE</t>
  </si>
  <si>
    <t>Antennariidae</t>
  </si>
  <si>
    <t>ocellated frogfish</t>
  </si>
  <si>
    <t>from ANTENNARIUS RADIOSUS</t>
  </si>
  <si>
    <t>ANTENNARIUS RADIOSUS</t>
  </si>
  <si>
    <t>big-eyed frogfish</t>
  </si>
  <si>
    <t>ANTENNARIUS STRIATUS</t>
  </si>
  <si>
    <t>striated frogfish</t>
  </si>
  <si>
    <t>ANTENNARIUS SANGUINEUS</t>
  </si>
  <si>
    <t>bloody frogfish</t>
  </si>
  <si>
    <t>OGCOCEPHALUS</t>
  </si>
  <si>
    <t>Ogcocephalidae</t>
  </si>
  <si>
    <t>assumed from picture</t>
  </si>
  <si>
    <t>OGCOCEPHALUS PUMILUS</t>
  </si>
  <si>
    <t>OGCOCEPHALUS NASUTUS</t>
  </si>
  <si>
    <t>shortnose batfish</t>
  </si>
  <si>
    <t>OGCOCEPHALUS DECLIVIROSTRIS</t>
  </si>
  <si>
    <t>slantbrow batfish</t>
  </si>
  <si>
    <t>OGCOCEPHALUS PANTOSTICTUS</t>
  </si>
  <si>
    <t>spotted batfish</t>
  </si>
  <si>
    <t>OGCOCEPHALUS PARVUS</t>
  </si>
  <si>
    <t>roughback batfish</t>
  </si>
  <si>
    <t>polka-dot batfish</t>
  </si>
  <si>
    <t>OGCOCEPHALUS CORNIGER</t>
  </si>
  <si>
    <t>longnose batfish</t>
  </si>
  <si>
    <t>DIBRANCHUS ATLANTICUS</t>
  </si>
  <si>
    <t>Atlantic batfish</t>
  </si>
  <si>
    <t>HALIEUTICHTHYS ACULEATUS</t>
  </si>
  <si>
    <t>pancake batfish</t>
  </si>
  <si>
    <t>tricorn batfish</t>
  </si>
  <si>
    <t>SQUILLA</t>
  </si>
  <si>
    <t>Squillidae</t>
  </si>
  <si>
    <t>Stomatopod</t>
  </si>
  <si>
    <t>Squilla brasiliensis</t>
  </si>
  <si>
    <t>Squilla edentata</t>
  </si>
  <si>
    <t>Squilla empusa</t>
  </si>
  <si>
    <t>Squilla lijdingi</t>
  </si>
  <si>
    <t>Squilla neglecta</t>
  </si>
  <si>
    <t>Squilla chydaea</t>
  </si>
  <si>
    <t>Squilla deceptrix</t>
  </si>
  <si>
    <t>Penaeus aztecus</t>
  </si>
  <si>
    <t>brown shrimp</t>
  </si>
  <si>
    <t>Panaeid shrimp</t>
  </si>
  <si>
    <t>Penaeus duorarum</t>
  </si>
  <si>
    <t>pink shrimp</t>
  </si>
  <si>
    <t>Penaeus setiferus</t>
  </si>
  <si>
    <t>white shrimp</t>
  </si>
  <si>
    <t>Portunidae</t>
  </si>
  <si>
    <t>CW</t>
  </si>
  <si>
    <t>Callinectes similis</t>
  </si>
  <si>
    <t>Anasimus latus</t>
  </si>
  <si>
    <t>Majoidae</t>
  </si>
  <si>
    <t>stilt spider crab</t>
  </si>
  <si>
    <t>Sangun et al. 2009</t>
  </si>
  <si>
    <t>Rochinia crassa</t>
  </si>
  <si>
    <t>inflated spiny crab</t>
  </si>
  <si>
    <t>Calappidae</t>
  </si>
  <si>
    <t>box crabs</t>
  </si>
  <si>
    <t>Gonzalez et al. 2000</t>
  </si>
  <si>
    <t>Calappa</t>
  </si>
  <si>
    <t>Calappa angusta</t>
  </si>
  <si>
    <t>nodose box crab</t>
  </si>
  <si>
    <t>Calappa flammea</t>
  </si>
  <si>
    <t>flame box crab</t>
  </si>
  <si>
    <t>Calappa sulcata</t>
  </si>
  <si>
    <t>yellow box crab</t>
  </si>
  <si>
    <t>Acanthocarpus alexandri</t>
  </si>
  <si>
    <t>gladiator box crab</t>
  </si>
  <si>
    <t>Amusium papyraceum</t>
  </si>
  <si>
    <t>Pectinidae</t>
  </si>
  <si>
    <t>paper scallop</t>
  </si>
  <si>
    <t>bivalve</t>
  </si>
  <si>
    <t>Asteroidea</t>
  </si>
  <si>
    <t>sea stars</t>
  </si>
  <si>
    <t>Astropecten</t>
  </si>
  <si>
    <t>Astropectinidae</t>
  </si>
  <si>
    <t>Astropecten americanus</t>
  </si>
  <si>
    <t>Astropecten articulatus</t>
  </si>
  <si>
    <t>Astropecten comptus</t>
  </si>
  <si>
    <t>Astropecten duplicatus</t>
  </si>
  <si>
    <t>two-spined starfish</t>
  </si>
  <si>
    <t>Astropecten cingulatus</t>
  </si>
  <si>
    <t>Astropecten armatus</t>
  </si>
  <si>
    <t>Astropecten alligator</t>
  </si>
  <si>
    <t>Luidia</t>
  </si>
  <si>
    <t>Luidiidae</t>
  </si>
  <si>
    <t>Luidia alternata</t>
  </si>
  <si>
    <t>Luidia clathrata</t>
  </si>
  <si>
    <t>Luidia sagamina</t>
  </si>
  <si>
    <t>Luidia ludwigi</t>
  </si>
  <si>
    <t>Family</t>
  </si>
  <si>
    <t>borrowed from Congridae</t>
  </si>
  <si>
    <t xml:space="preserve"> Southern Florida, USA</t>
  </si>
  <si>
    <t>Brazil Iha de Paciencia, 2006-2007 n = 418</t>
  </si>
  <si>
    <t>South Africa estuaries 1993-1999; n = 1779</t>
  </si>
  <si>
    <r>
      <t xml:space="preserve">for </t>
    </r>
    <r>
      <rPr>
        <i/>
        <sz val="11"/>
        <color indexed="8"/>
        <rFont val="Calibri"/>
        <family val="2"/>
      </rPr>
      <t>Myliobatis aquila</t>
    </r>
  </si>
  <si>
    <r>
      <t xml:space="preserve">for </t>
    </r>
    <r>
      <rPr>
        <i/>
        <sz val="11"/>
        <color indexed="8"/>
        <rFont val="Calibri"/>
        <family val="2"/>
      </rPr>
      <t>Squatina squatina</t>
    </r>
  </si>
  <si>
    <r>
      <t xml:space="preserve">from </t>
    </r>
    <r>
      <rPr>
        <i/>
        <sz val="11"/>
        <color indexed="8"/>
        <rFont val="Calibri"/>
        <family val="2"/>
      </rPr>
      <t>OGCOCEPHALUS RADIATUS</t>
    </r>
  </si>
  <si>
    <r>
      <t xml:space="preserve">from </t>
    </r>
    <r>
      <rPr>
        <i/>
        <sz val="11"/>
        <color indexed="8"/>
        <rFont val="Calibri"/>
        <family val="2"/>
      </rPr>
      <t>UPENEUS PARVUS</t>
    </r>
  </si>
  <si>
    <r>
      <t xml:space="preserve">From </t>
    </r>
    <r>
      <rPr>
        <i/>
        <sz val="11"/>
        <color indexed="8"/>
        <rFont val="Calibri"/>
        <family val="2"/>
      </rPr>
      <t>CALLINECTES SAPIDUS</t>
    </r>
  </si>
  <si>
    <t>LW Eq: length units</t>
  </si>
  <si>
    <t xml:space="preserve"> Gibbesia neglecta (formerly Squilla rugosa)</t>
  </si>
  <si>
    <r>
      <t>from</t>
    </r>
    <r>
      <rPr>
        <i/>
        <sz val="11"/>
        <color indexed="8"/>
        <rFont val="Calibri"/>
        <family val="2"/>
      </rPr>
      <t xml:space="preserve"> Astropecten irregularis </t>
    </r>
    <r>
      <rPr>
        <sz val="11"/>
        <color indexed="8"/>
        <rFont val="Calibri"/>
        <family val="2"/>
      </rPr>
      <t>(male)</t>
    </r>
  </si>
  <si>
    <r>
      <t xml:space="preserve">from female </t>
    </r>
    <r>
      <rPr>
        <i/>
        <sz val="11"/>
        <color indexed="8"/>
        <rFont val="Calibri"/>
        <family val="2"/>
      </rPr>
      <t>Calappa granulata</t>
    </r>
  </si>
  <si>
    <r>
      <t xml:space="preserve">from </t>
    </r>
    <r>
      <rPr>
        <i/>
        <sz val="11"/>
        <color indexed="8"/>
        <rFont val="Calibri"/>
        <family val="2"/>
      </rPr>
      <t>Oratosquilla nepa</t>
    </r>
    <r>
      <rPr>
        <sz val="11"/>
        <color indexed="8"/>
        <rFont val="Calibri"/>
        <family val="2"/>
      </rPr>
      <t xml:space="preserve"> (male)</t>
    </r>
  </si>
  <si>
    <r>
      <t xml:space="preserve">from </t>
    </r>
    <r>
      <rPr>
        <i/>
        <sz val="11"/>
        <color indexed="8"/>
        <rFont val="Calibri"/>
        <family val="2"/>
      </rPr>
      <t>Ixa monodi</t>
    </r>
    <r>
      <rPr>
        <sz val="11"/>
        <color indexed="8"/>
        <rFont val="Calibri"/>
        <family val="2"/>
      </rPr>
      <t xml:space="preserve"> (Family Leucosiidae)</t>
    </r>
  </si>
  <si>
    <r>
      <t xml:space="preserve">from </t>
    </r>
    <r>
      <rPr>
        <i/>
        <sz val="11"/>
        <color indexed="8"/>
        <rFont val="Calibri"/>
        <family val="2"/>
      </rPr>
      <t>Placopecten magellanicus</t>
    </r>
    <r>
      <rPr>
        <sz val="11"/>
        <color indexed="8"/>
        <rFont val="Calibri"/>
        <family val="2"/>
      </rPr>
      <t xml:space="preserve"> (sea scallop)</t>
    </r>
  </si>
  <si>
    <t>www.fishbase.org</t>
  </si>
  <si>
    <t>Mutlu 2013</t>
  </si>
  <si>
    <t>Mutlu  2013</t>
  </si>
  <si>
    <t>Abdurahiman et al. 2004</t>
  </si>
  <si>
    <t>DuPaul 2004</t>
  </si>
  <si>
    <t>Sangun et al. 2010</t>
  </si>
  <si>
    <r>
      <t>from</t>
    </r>
    <r>
      <rPr>
        <i/>
        <sz val="11"/>
        <color indexed="8"/>
        <rFont val="Calibri"/>
        <family val="2"/>
      </rPr>
      <t xml:space="preserve"> Ixa monodi </t>
    </r>
    <r>
      <rPr>
        <sz val="11"/>
        <color indexed="8"/>
        <rFont val="Calibri"/>
        <family val="2"/>
      </rPr>
      <t>(Family Leucosiidae); coded in SEAMAP as 'FL', using 'FL' as proxy for 'CW'</t>
    </r>
  </si>
  <si>
    <t>Bielsa 1983</t>
  </si>
  <si>
    <t>Sutton and Wagner 2007</t>
  </si>
  <si>
    <t>Muncy 1984</t>
  </si>
  <si>
    <t>Lassuy 1983</t>
  </si>
  <si>
    <t>genus</t>
  </si>
  <si>
    <r>
      <t>FL to TL '</t>
    </r>
    <r>
      <rPr>
        <i/>
        <sz val="11"/>
        <color indexed="8"/>
        <rFont val="Calibri"/>
        <family val="2"/>
      </rPr>
      <t>a</t>
    </r>
    <r>
      <rPr>
        <sz val="11"/>
        <color indexed="8"/>
        <rFont val="Calibri"/>
        <family val="2"/>
      </rPr>
      <t>'</t>
    </r>
  </si>
  <si>
    <t>Length type</t>
  </si>
  <si>
    <t>FL to TL 'b'</t>
  </si>
  <si>
    <r>
      <t>LW '</t>
    </r>
    <r>
      <rPr>
        <i/>
        <sz val="11"/>
        <color indexed="8"/>
        <rFont val="Calibri"/>
        <family val="2"/>
      </rPr>
      <t>b</t>
    </r>
    <r>
      <rPr>
        <sz val="11"/>
        <color indexed="8"/>
        <rFont val="Calibri"/>
        <family val="2"/>
      </rPr>
      <t>'</t>
    </r>
  </si>
  <si>
    <r>
      <t>SL to TL '</t>
    </r>
    <r>
      <rPr>
        <i/>
        <sz val="11"/>
        <color indexed="8"/>
        <rFont val="Calibri"/>
        <family val="2"/>
      </rPr>
      <t>a</t>
    </r>
    <r>
      <rPr>
        <sz val="11"/>
        <color indexed="8"/>
        <rFont val="Calibri"/>
        <family val="2"/>
      </rPr>
      <t>'</t>
    </r>
  </si>
  <si>
    <r>
      <t>SL to  TL '</t>
    </r>
    <r>
      <rPr>
        <i/>
        <sz val="11"/>
        <color indexed="8"/>
        <rFont val="Calibri"/>
        <family val="2"/>
      </rPr>
      <t>b</t>
    </r>
    <r>
      <rPr>
        <sz val="11"/>
        <color indexed="8"/>
        <rFont val="Calibri"/>
        <family val="2"/>
      </rPr>
      <t>'</t>
    </r>
  </si>
  <si>
    <r>
      <t>TL to SL '</t>
    </r>
    <r>
      <rPr>
        <i/>
        <sz val="11"/>
        <color indexed="8"/>
        <rFont val="Calibri"/>
        <family val="2"/>
      </rPr>
      <t>a</t>
    </r>
    <r>
      <rPr>
        <sz val="11"/>
        <color indexed="8"/>
        <rFont val="Calibri"/>
        <family val="2"/>
      </rPr>
      <t>'</t>
    </r>
  </si>
  <si>
    <r>
      <t>TL to SL '</t>
    </r>
    <r>
      <rPr>
        <i/>
        <sz val="11"/>
        <color indexed="8"/>
        <rFont val="Calibri"/>
        <family val="2"/>
      </rPr>
      <t>b</t>
    </r>
    <r>
      <rPr>
        <sz val="11"/>
        <color indexed="8"/>
        <rFont val="Calibri"/>
        <family val="2"/>
      </rPr>
      <t>'</t>
    </r>
  </si>
  <si>
    <r>
      <t>TL to FL '</t>
    </r>
    <r>
      <rPr>
        <i/>
        <sz val="11"/>
        <color indexed="8"/>
        <rFont val="Calibri"/>
        <family val="2"/>
      </rPr>
      <t>a</t>
    </r>
    <r>
      <rPr>
        <sz val="11"/>
        <color indexed="8"/>
        <rFont val="Calibri"/>
        <family val="2"/>
      </rPr>
      <t>'</t>
    </r>
  </si>
  <si>
    <r>
      <t>TL to FL '</t>
    </r>
    <r>
      <rPr>
        <i/>
        <sz val="11"/>
        <color indexed="8"/>
        <rFont val="Calibri"/>
        <family val="2"/>
      </rPr>
      <t>b</t>
    </r>
    <r>
      <rPr>
        <sz val="11"/>
        <color indexed="8"/>
        <rFont val="Calibri"/>
        <family val="2"/>
      </rPr>
      <t>'</t>
    </r>
  </si>
  <si>
    <t>length to length notes</t>
  </si>
  <si>
    <r>
      <t>LW '</t>
    </r>
    <r>
      <rPr>
        <i/>
        <sz val="11"/>
        <color indexed="8"/>
        <rFont val="Calibri"/>
        <family val="2"/>
      </rPr>
      <t>a</t>
    </r>
    <r>
      <rPr>
        <sz val="11"/>
        <color indexed="8"/>
        <rFont val="Calibri"/>
        <family val="2"/>
      </rPr>
      <t>'</t>
    </r>
  </si>
  <si>
    <t>LW taxa resolution</t>
  </si>
  <si>
    <t>LW equation reference</t>
  </si>
  <si>
    <t>LW equation notes</t>
  </si>
  <si>
    <r>
      <t xml:space="preserve">Achrius lineatus, Ancylopsetta dilecta, A. quadrocellata, </t>
    </r>
    <r>
      <rPr>
        <sz val="11"/>
        <color theme="1"/>
        <rFont val="Calibri"/>
        <family val="2"/>
        <scheme val="minor"/>
      </rPr>
      <t>Bothidae</t>
    </r>
    <r>
      <rPr>
        <i/>
        <sz val="11"/>
        <color theme="1"/>
        <rFont val="Calibri"/>
        <family val="2"/>
        <scheme val="minor"/>
      </rPr>
      <t xml:space="preserve">, Bothus sp., B. lunatus, B. ocellatus, B. robinsi, Chascanopsetta lugubris, Citharichthys arenaceus, C. cornutus, C. gymnorhinus, C. macrops, C. spilopterus, Cyclopsetta chittendeni, C. fimbriata, Engyophrys senta, Entropus </t>
    </r>
    <r>
      <rPr>
        <sz val="11"/>
        <color theme="1"/>
        <rFont val="Calibri"/>
        <family val="2"/>
        <scheme val="minor"/>
      </rPr>
      <t>sp.</t>
    </r>
    <r>
      <rPr>
        <i/>
        <sz val="11"/>
        <color theme="1"/>
        <rFont val="Calibri"/>
        <family val="2"/>
        <scheme val="minor"/>
      </rPr>
      <t xml:space="preserve">, E. crossotus, E. cyclosquamus, E. intermedius, E. microstomus, E. rimosus, Gastropsetta frontalis, Gymnachirus melas, G. texae, Monolene sesselicauda, Syacium </t>
    </r>
    <r>
      <rPr>
        <sz val="11"/>
        <color theme="1"/>
        <rFont val="Calibri"/>
        <family val="2"/>
        <scheme val="minor"/>
      </rPr>
      <t>sp.</t>
    </r>
    <r>
      <rPr>
        <i/>
        <sz val="11"/>
        <color theme="1"/>
        <rFont val="Calibri"/>
        <family val="2"/>
        <scheme val="minor"/>
      </rPr>
      <t>, S. gunteri, S. micrurum, S. papillosum, Trichopsetta ventralis, T. inscriptus, T. maculatus</t>
    </r>
  </si>
  <si>
    <t>Ken Heck, unpubl.</t>
  </si>
  <si>
    <t>adults</t>
  </si>
  <si>
    <t>Producer (p)</t>
  </si>
  <si>
    <t>fisheries</t>
  </si>
  <si>
    <t>Consumer (c)</t>
  </si>
  <si>
    <t>Based on Hirst (2003) adult broadcast spawner copepod, function of 14.89 µg C &amp; 25°C</t>
  </si>
  <si>
    <t>Based on Hirst (2003) adult broadcast spawner copepod, function of 0.67 µg C &amp; 25°C</t>
  </si>
  <si>
    <t>Based on Hirst 2003, non-copepod crustacean, function of 550 µg C &amp; 25°C</t>
  </si>
  <si>
    <t xml:space="preserve">Based on Hirst (2003) for non-copepod crustacean, function of 705 µg C &amp; 25°C; (set for amphipods which represent 74% of other mesozoop group); </t>
  </si>
  <si>
    <t>www.fishbase.org (Soto et al. 1998; Bass et al. 1975); Overstreet and Heard 1978</t>
  </si>
  <si>
    <t>neonate; young of the year; recuits/juvenile; juvenile/adult; adult</t>
  </si>
  <si>
    <t>www.fishbase.org (Cortés 2002; López-Peralta and Arcila 2002; Bowman et al. 2000; Cortés 1999; Lessa and Almeida 1998; Cortés et al. 1996); Bethea et al. 2004</t>
  </si>
  <si>
    <t>Ruzicka unpublished</t>
  </si>
  <si>
    <t>Length-to-Weight equation reference</t>
  </si>
  <si>
    <r>
      <t>WWT = 0.928*(OL)</t>
    </r>
    <r>
      <rPr>
        <vertAlign val="superscript"/>
        <sz val="11"/>
        <color theme="1"/>
        <rFont val="Calibri"/>
        <family val="2"/>
        <scheme val="minor"/>
      </rPr>
      <t>2.231</t>
    </r>
  </si>
  <si>
    <t>Tarjuelo and Turon 2004</t>
  </si>
  <si>
    <t xml:space="preserve">Postel et al. 2000 </t>
  </si>
  <si>
    <t>Ruomhr et al. 1987</t>
  </si>
  <si>
    <r>
      <t>pelagic NH</t>
    </r>
    <r>
      <rPr>
        <vertAlign val="subscript"/>
        <sz val="11"/>
        <color theme="1"/>
        <rFont val="Calibri"/>
        <family val="2"/>
        <scheme val="minor"/>
      </rPr>
      <t>4</t>
    </r>
    <r>
      <rPr>
        <vertAlign val="superscript"/>
        <sz val="11"/>
        <color theme="1"/>
        <rFont val="Calibri"/>
        <family val="2"/>
        <scheme val="minor"/>
      </rPr>
      <t>+</t>
    </r>
  </si>
  <si>
    <r>
      <t>benthic NH</t>
    </r>
    <r>
      <rPr>
        <vertAlign val="subscript"/>
        <sz val="11"/>
        <color theme="1"/>
        <rFont val="Calibri"/>
        <family val="2"/>
        <scheme val="minor"/>
      </rPr>
      <t>4</t>
    </r>
    <r>
      <rPr>
        <vertAlign val="superscript"/>
        <sz val="11"/>
        <color theme="1"/>
        <rFont val="Calibri"/>
        <family val="2"/>
        <scheme val="minor"/>
      </rPr>
      <t>+</t>
    </r>
  </si>
  <si>
    <r>
      <t>NO</t>
    </r>
    <r>
      <rPr>
        <vertAlign val="subscript"/>
        <sz val="11"/>
        <color theme="1"/>
        <rFont val="Calibri"/>
        <family val="2"/>
        <scheme val="minor"/>
      </rPr>
      <t>3</t>
    </r>
    <r>
      <rPr>
        <vertAlign val="superscript"/>
        <sz val="11"/>
        <color theme="1"/>
        <rFont val="Calibri"/>
        <family val="2"/>
        <scheme val="minor"/>
      </rPr>
      <t>-</t>
    </r>
  </si>
  <si>
    <t>Mean of life stanzas from Walters  et al. (2008)</t>
  </si>
  <si>
    <r>
      <t xml:space="preserve">Scallopped hammerhead </t>
    </r>
    <r>
      <rPr>
        <i/>
        <sz val="11"/>
        <rFont val="Calibri"/>
        <family val="2"/>
        <scheme val="minor"/>
      </rPr>
      <t>P/B</t>
    </r>
    <r>
      <rPr>
        <sz val="11"/>
        <rFont val="Calibri"/>
        <family val="2"/>
        <scheme val="minor"/>
      </rPr>
      <t xml:space="preserve"> =</t>
    </r>
    <r>
      <rPr>
        <i/>
        <sz val="11"/>
        <rFont val="Calibri"/>
        <family val="2"/>
        <scheme val="minor"/>
      </rPr>
      <t xml:space="preserve"> Z</t>
    </r>
  </si>
  <si>
    <r>
      <t xml:space="preserve">Scallopped hammerhead </t>
    </r>
    <r>
      <rPr>
        <i/>
        <sz val="11"/>
        <rFont val="Calibri"/>
        <family val="2"/>
        <scheme val="minor"/>
      </rPr>
      <t>P/B</t>
    </r>
    <r>
      <rPr>
        <sz val="11"/>
        <rFont val="Calibri"/>
        <family val="2"/>
        <scheme val="minor"/>
      </rPr>
      <t xml:space="preserve"> =</t>
    </r>
    <r>
      <rPr>
        <i/>
        <sz val="11"/>
        <rFont val="Calibri"/>
        <family val="2"/>
        <scheme val="minor"/>
      </rPr>
      <t xml:space="preserve"> Z</t>
    </r>
    <r>
      <rPr>
        <sz val="11"/>
        <rFont val="Calibri"/>
        <family val="2"/>
        <scheme val="minor"/>
      </rPr>
      <t/>
    </r>
  </si>
  <si>
    <t>Hirst (2003) for salp 1350.83 µg at 15°C</t>
  </si>
  <si>
    <r>
      <rPr>
        <i/>
        <sz val="11"/>
        <rFont val="Calibri"/>
        <family val="2"/>
        <scheme val="minor"/>
      </rPr>
      <t xml:space="preserve">P/B </t>
    </r>
    <r>
      <rPr>
        <sz val="11"/>
        <rFont val="Calibri"/>
        <family val="2"/>
        <scheme val="minor"/>
      </rPr>
      <t>based on mortality rate (</t>
    </r>
    <r>
      <rPr>
        <i/>
        <sz val="11"/>
        <rFont val="Calibri"/>
        <family val="2"/>
        <scheme val="minor"/>
      </rPr>
      <t>M</t>
    </r>
    <r>
      <rPr>
        <sz val="11"/>
        <rFont val="Calibri"/>
        <family val="2"/>
        <scheme val="minor"/>
      </rPr>
      <t>) from FishBase</t>
    </r>
  </si>
  <si>
    <r>
      <t>Mortality rate (</t>
    </r>
    <r>
      <rPr>
        <i/>
        <sz val="11"/>
        <rFont val="Calibri"/>
        <family val="2"/>
        <scheme val="minor"/>
      </rPr>
      <t>M</t>
    </r>
    <r>
      <rPr>
        <sz val="11"/>
        <rFont val="Calibri"/>
        <family val="2"/>
        <scheme val="minor"/>
      </rPr>
      <t>) from FishBase</t>
    </r>
  </si>
  <si>
    <r>
      <t>Mortality rate (</t>
    </r>
    <r>
      <rPr>
        <i/>
        <sz val="11"/>
        <rFont val="Calibri"/>
        <family val="2"/>
        <scheme val="minor"/>
      </rPr>
      <t>M</t>
    </r>
    <r>
      <rPr>
        <sz val="11"/>
        <rFont val="Calibri"/>
        <family val="2"/>
        <scheme val="minor"/>
      </rPr>
      <t>) for dwarf sandperch from Fishbase</t>
    </r>
  </si>
  <si>
    <r>
      <t xml:space="preserve">Great barracuda </t>
    </r>
    <r>
      <rPr>
        <i/>
        <sz val="11"/>
        <rFont val="Calibri"/>
        <family val="2"/>
        <scheme val="minor"/>
      </rPr>
      <t xml:space="preserve">Z </t>
    </r>
    <r>
      <rPr>
        <sz val="11"/>
        <rFont val="Calibri"/>
        <family val="2"/>
        <scheme val="minor"/>
      </rPr>
      <t>(</t>
    </r>
    <r>
      <rPr>
        <i/>
        <sz val="11"/>
        <rFont val="Calibri"/>
        <family val="2"/>
        <scheme val="minor"/>
      </rPr>
      <t xml:space="preserve">P/B </t>
    </r>
    <r>
      <rPr>
        <sz val="11"/>
        <rFont val="Calibri"/>
        <family val="2"/>
        <scheme val="minor"/>
      </rPr>
      <t>=</t>
    </r>
    <r>
      <rPr>
        <i/>
        <sz val="11"/>
        <rFont val="Calibri"/>
        <family val="2"/>
        <scheme val="minor"/>
      </rPr>
      <t xml:space="preserve"> Z</t>
    </r>
    <r>
      <rPr>
        <sz val="11"/>
        <rFont val="Calibri"/>
        <family val="2"/>
        <scheme val="minor"/>
      </rPr>
      <t>)</t>
    </r>
  </si>
  <si>
    <t>Common dolphin (Aydin et al. 2003, citing Hobbs &amp; Jones 1993)</t>
  </si>
  <si>
    <t>Recreational</t>
  </si>
  <si>
    <t>Commercial</t>
  </si>
  <si>
    <r>
      <t>Fishery Discards (t km</t>
    </r>
    <r>
      <rPr>
        <vertAlign val="superscript"/>
        <sz val="11"/>
        <color theme="1"/>
        <rFont val="Calibri"/>
        <family val="2"/>
        <scheme val="minor"/>
      </rPr>
      <t>-2</t>
    </r>
    <r>
      <rPr>
        <sz val="11"/>
        <color theme="1"/>
        <rFont val="Calibri"/>
        <family val="2"/>
        <scheme val="minor"/>
      </rPr>
      <t xml:space="preserve"> yr</t>
    </r>
    <r>
      <rPr>
        <vertAlign val="superscript"/>
        <sz val="11"/>
        <color theme="1"/>
        <rFont val="Calibri"/>
        <family val="2"/>
        <scheme val="minor"/>
      </rPr>
      <t>-1</t>
    </r>
    <r>
      <rPr>
        <sz val="11"/>
        <color theme="1"/>
        <rFont val="Calibri"/>
        <family val="2"/>
        <scheme val="minor"/>
      </rPr>
      <t>)</t>
    </r>
  </si>
  <si>
    <r>
      <t>Fishery Landings (t km</t>
    </r>
    <r>
      <rPr>
        <vertAlign val="superscript"/>
        <sz val="11"/>
        <color theme="1"/>
        <rFont val="Calibri"/>
        <family val="2"/>
        <scheme val="minor"/>
      </rPr>
      <t>-2</t>
    </r>
    <r>
      <rPr>
        <sz val="11"/>
        <color theme="1"/>
        <rFont val="Calibri"/>
        <family val="2"/>
        <scheme val="minor"/>
      </rPr>
      <t xml:space="preserve"> yr</t>
    </r>
    <r>
      <rPr>
        <vertAlign val="superscript"/>
        <sz val="11"/>
        <color theme="1"/>
        <rFont val="Calibri"/>
        <family val="2"/>
        <scheme val="minor"/>
      </rPr>
      <t>-1</t>
    </r>
    <r>
      <rPr>
        <sz val="11"/>
        <color theme="1"/>
        <rFont val="Calibri"/>
        <family val="2"/>
        <scheme val="minor"/>
      </rPr>
      <t>)</t>
    </r>
  </si>
  <si>
    <t>Estimated individual WWT (g)</t>
  </si>
  <si>
    <t>Published individual weight (g)</t>
  </si>
  <si>
    <t>Published individual weight reference</t>
  </si>
  <si>
    <r>
      <rPr>
        <vertAlign val="superscript"/>
        <sz val="12"/>
        <color theme="1"/>
        <rFont val="Calibri"/>
        <family val="2"/>
        <scheme val="minor"/>
      </rPr>
      <t>a</t>
    </r>
    <r>
      <rPr>
        <sz val="12"/>
        <color theme="1"/>
        <rFont val="Calibri"/>
        <family val="2"/>
        <scheme val="minor"/>
      </rPr>
      <t>median</t>
    </r>
  </si>
  <si>
    <r>
      <rPr>
        <vertAlign val="superscript"/>
        <sz val="12"/>
        <color theme="1"/>
        <rFont val="Calibri"/>
        <family val="2"/>
        <scheme val="minor"/>
      </rPr>
      <t>b</t>
    </r>
    <r>
      <rPr>
        <sz val="12"/>
        <color theme="1"/>
        <rFont val="Calibri"/>
        <family val="2"/>
        <scheme val="minor"/>
      </rPr>
      <t>mean</t>
    </r>
  </si>
  <si>
    <r>
      <rPr>
        <vertAlign val="superscript"/>
        <sz val="12"/>
        <color theme="1"/>
        <rFont val="Calibri"/>
        <family val="2"/>
        <scheme val="minor"/>
      </rPr>
      <t>d</t>
    </r>
    <r>
      <rPr>
        <sz val="12"/>
        <color theme="1"/>
        <rFont val="Calibri"/>
        <family val="2"/>
        <scheme val="minor"/>
      </rPr>
      <t>0.137 mg DW per 1.0 mg WW (range (mean of 0.035-0.30 mg DW/1mg WW)</t>
    </r>
  </si>
  <si>
    <r>
      <rPr>
        <vertAlign val="superscript"/>
        <sz val="12"/>
        <color theme="1"/>
        <rFont val="Calibri"/>
        <family val="2"/>
        <scheme val="minor"/>
      </rPr>
      <t>e</t>
    </r>
    <r>
      <rPr>
        <sz val="12"/>
        <color theme="1"/>
        <rFont val="Calibri"/>
        <family val="2"/>
        <scheme val="minor"/>
      </rPr>
      <t>0.20 mg DW per 1.0 mg WW (range is 0.10 to 0.30)</t>
    </r>
  </si>
  <si>
    <r>
      <rPr>
        <vertAlign val="superscript"/>
        <sz val="11"/>
        <color theme="1"/>
        <rFont val="Calibri"/>
        <family val="2"/>
        <scheme val="minor"/>
      </rPr>
      <t>c</t>
    </r>
    <r>
      <rPr>
        <sz val="11"/>
        <color theme="1"/>
        <rFont val="Calibri"/>
        <family val="2"/>
        <scheme val="minor"/>
      </rPr>
      <t xml:space="preserve">0.109 mg C/1.0 mg DW; </t>
    </r>
    <r>
      <rPr>
        <vertAlign val="superscript"/>
        <sz val="11"/>
        <color theme="1"/>
        <rFont val="Calibri"/>
        <family val="2"/>
      </rPr>
      <t>f</t>
    </r>
    <r>
      <rPr>
        <sz val="11"/>
        <color theme="1"/>
        <rFont val="Calibri"/>
        <family val="2"/>
        <scheme val="minor"/>
      </rPr>
      <t>0.0443 mg DW/1.0 mg WWT</t>
    </r>
  </si>
  <si>
    <r>
      <rPr>
        <vertAlign val="superscript"/>
        <sz val="12"/>
        <color theme="1"/>
        <rFont val="Calibri"/>
        <family val="2"/>
        <scheme val="minor"/>
      </rPr>
      <t>f</t>
    </r>
    <r>
      <rPr>
        <sz val="12"/>
        <color theme="1"/>
        <rFont val="Calibri"/>
        <family val="2"/>
        <scheme val="minor"/>
      </rPr>
      <t>average of all Siphonophore records</t>
    </r>
  </si>
  <si>
    <r>
      <rPr>
        <vertAlign val="superscript"/>
        <sz val="12"/>
        <color theme="1"/>
        <rFont val="Calibri"/>
        <family val="2"/>
      </rPr>
      <t>c</t>
    </r>
    <r>
      <rPr>
        <sz val="12"/>
        <color theme="1"/>
        <rFont val="Calibri"/>
        <family val="2"/>
      </rPr>
      <t xml:space="preserve">average of all </t>
    </r>
    <r>
      <rPr>
        <i/>
        <sz val="12"/>
        <color theme="1"/>
        <rFont val="Calibri"/>
        <family val="2"/>
      </rPr>
      <t xml:space="preserve">Muggiaea atlantic </t>
    </r>
    <r>
      <rPr>
        <sz val="12"/>
        <color theme="1"/>
        <rFont val="Calibri"/>
        <family val="2"/>
      </rPr>
      <t>records</t>
    </r>
    <r>
      <rPr>
        <vertAlign val="superscript"/>
        <sz val="11"/>
        <color theme="1"/>
        <rFont val="Calibri"/>
        <family val="2"/>
      </rPr>
      <t/>
    </r>
  </si>
  <si>
    <r>
      <rPr>
        <vertAlign val="superscript"/>
        <sz val="11"/>
        <color theme="1"/>
        <rFont val="Calibri"/>
        <family val="2"/>
        <scheme val="minor"/>
      </rPr>
      <t>b</t>
    </r>
    <r>
      <rPr>
        <sz val="11"/>
        <color theme="1"/>
        <rFont val="Calibri"/>
        <family val="2"/>
        <scheme val="minor"/>
      </rPr>
      <t xml:space="preserve">42.4 mg C/1.0 mg DW; </t>
    </r>
    <r>
      <rPr>
        <vertAlign val="superscript"/>
        <sz val="11"/>
        <color theme="1"/>
        <rFont val="Calibri"/>
        <family val="2"/>
        <scheme val="minor"/>
      </rPr>
      <t>e</t>
    </r>
    <r>
      <rPr>
        <sz val="11"/>
        <color theme="1"/>
        <rFont val="Calibri"/>
        <family val="2"/>
        <scheme val="minor"/>
      </rPr>
      <t>0.20 mg DW/1.0 mg WWT</t>
    </r>
  </si>
  <si>
    <t>0.035 mg DW/1.0 mg WWT</t>
  </si>
  <si>
    <t>Mugil cephalus; Sciaenops ocellatus/ocellata</t>
  </si>
  <si>
    <r>
      <t>Peprilus triacanthu; Peprilus alepidotus</t>
    </r>
    <r>
      <rPr>
        <sz val="12"/>
        <color rgb="FF000000"/>
        <rFont val="Calibri"/>
        <family val="2"/>
        <scheme val="minor"/>
      </rPr>
      <t xml:space="preserve"> </t>
    </r>
    <r>
      <rPr>
        <i/>
        <sz val="12"/>
        <color rgb="FF000000"/>
        <rFont val="Calibri"/>
        <family val="2"/>
        <scheme val="minor"/>
      </rPr>
      <t>(paru)</t>
    </r>
  </si>
  <si>
    <t>www.fishbase.org (Gómez-Canchong 2004; Vega-Cendejas et al. 2004;  Bowman et al. 2000; Motta et al. 1995; Carr and Adams 1973; Randall 1967)</t>
  </si>
  <si>
    <t>www.fishbase.org (Szedlmayer and Lee 2004; Gómez-Canchong et al. 2004; McCawley 2003; Franks and VanderKooy 2000; Duarte and Garcia 1999; Sierra et al. 1994; Randall 1697; Rodriguez Pino 1962)</t>
  </si>
  <si>
    <t>www.fishbase.org (Lunardon-Branco and Branco 2003; Castillo-Rivera et al. 2000; Bowman 2000)</t>
  </si>
  <si>
    <t>www.fishbase.org (Gómez-Canchong et al. 2004; Bachok et al. 2004; Bowman et al. 2000; Franks et al. 1996; Salini et al. 1994; Sierra et al. 1994; Finucane et al. 1990; Austin and Austin 1971; Randall 1967)</t>
  </si>
  <si>
    <t>Phytoplankton</t>
  </si>
  <si>
    <t>1998-2007</t>
  </si>
  <si>
    <t>2008-2009</t>
  </si>
  <si>
    <t>Bathymetry</t>
  </si>
  <si>
    <t xml:space="preserve">NOAA Office of Coast Survey </t>
  </si>
  <si>
    <t>http://www.nauticalcharts.noaa.gov/csdl/ctp/encdirect_new.htm</t>
  </si>
  <si>
    <t>Microzooplankton</t>
  </si>
  <si>
    <t>Fisheries Oceanography of Coastal Alabama (FOCAL)</t>
  </si>
  <si>
    <t>URL / Reference</t>
  </si>
  <si>
    <t>Carassou et al. 2012</t>
  </si>
  <si>
    <t>Years</t>
  </si>
  <si>
    <t>Months</t>
  </si>
  <si>
    <t>Apr-Nov</t>
  </si>
  <si>
    <t>Apr-May</t>
  </si>
  <si>
    <t>2006-2009</t>
  </si>
  <si>
    <t>Jul-Aug</t>
  </si>
  <si>
    <t>Large copepods, euphausiids, other mesozooplankton, smal gelatinous carnivores, small gelatinous filter feeders, fish larvae, fish eggs, small squids, large jellyfish</t>
  </si>
  <si>
    <t>Large jellyfish, benthic epifauna, reef invert feeder, reef piscivore, large pelagics, small pelagics, large demersal, small demesal, red drum, gulf menhaden, anchovies, herrings, suspension feeders, large coastal sharks, small coastal sharks, offshore sharks, skates and rays, snapper/grouper</t>
  </si>
  <si>
    <t>1985-2009</t>
  </si>
  <si>
    <t>Southeast Area Monitoring and Assessment Program (SEAMAP)</t>
  </si>
  <si>
    <t>http://oceancolor.gsfc.nasa.gov/</t>
  </si>
  <si>
    <t>http://seamap.gsmfc.org/</t>
  </si>
  <si>
    <t>Bivalve</t>
  </si>
  <si>
    <t>K. Heck (unpubl.), Dauphin Island Sea Lab, Alabama, USA</t>
  </si>
  <si>
    <t>Dolphins, baleen whales, odontocetes</t>
  </si>
  <si>
    <t>NOAA NMFS Stock Assmessment</t>
  </si>
  <si>
    <t>NOAA Office of Protected Resources</t>
  </si>
  <si>
    <t xml:space="preserve">http://www.nmfs.noaa.gov/pr/species/ mammals/cetaceans/spotteddolphin_pantropical.htm </t>
  </si>
  <si>
    <t>Love et al. 2013</t>
  </si>
  <si>
    <t>Love et al. 2013; Wilkinson et al. 1994; Robinson and Dindo 2011; J. Dindo, unpubl. (Dauphin Island Sea Lab)</t>
  </si>
  <si>
    <t>1978-2011</t>
  </si>
  <si>
    <t>Marine Recreational Information Program, NOAA NMFS Office of Science &amp; Technology Recreational Fisheries Statistics</t>
  </si>
  <si>
    <t>NOAA NMFS Marine Recreational Fisheries Statistics Survey, NOAA NMFS Office of Science &amp; Technology Recreational Fisheries Statistics</t>
  </si>
  <si>
    <t>NOAA NMFS Fishery Statistic Division</t>
  </si>
  <si>
    <t>1990-2009</t>
  </si>
  <si>
    <t>Mar-Dec</t>
  </si>
  <si>
    <t>NMFS 2011; Scott-Denton et al. 2012; SEDAR 2013</t>
  </si>
  <si>
    <t>Commerical fishery discards</t>
  </si>
  <si>
    <t>2003-2010</t>
  </si>
  <si>
    <t>1983-2012</t>
  </si>
  <si>
    <t>Program / person</t>
  </si>
  <si>
    <t>2003-2004,2006-2008, 2010-2011</t>
  </si>
  <si>
    <r>
      <rPr>
        <b/>
        <sz val="11"/>
        <color theme="1"/>
        <rFont val="Calibri"/>
        <family val="2"/>
        <scheme val="minor"/>
      </rPr>
      <t xml:space="preserve">Table A.2 </t>
    </r>
    <r>
      <rPr>
        <sz val="11"/>
        <color theme="1"/>
        <rFont val="Calibri"/>
        <family val="2"/>
        <scheme val="minor"/>
      </rPr>
      <t>Fully resolved GoMex model functional group definitions and aggregation.</t>
    </r>
  </si>
  <si>
    <r>
      <rPr>
        <b/>
        <sz val="12"/>
        <color theme="1"/>
        <rFont val="Calibri"/>
        <family val="2"/>
        <scheme val="minor"/>
      </rPr>
      <t>Table A.3</t>
    </r>
    <r>
      <rPr>
        <sz val="12"/>
        <color theme="1"/>
        <rFont val="Calibri"/>
        <family val="2"/>
        <scheme val="minor"/>
      </rPr>
      <t xml:space="preserve"> Fully resolved and balanced GoMex ECOPATH model. </t>
    </r>
    <r>
      <rPr>
        <i/>
        <sz val="12"/>
        <color theme="1"/>
        <rFont val="Calibri"/>
        <family val="2"/>
        <scheme val="minor"/>
      </rPr>
      <t xml:space="preserve">P/B </t>
    </r>
    <r>
      <rPr>
        <sz val="12"/>
        <color theme="1"/>
        <rFont val="Calibri"/>
        <family val="2"/>
        <scheme val="minor"/>
      </rPr>
      <t xml:space="preserve">= weight-specific production rate, </t>
    </r>
    <r>
      <rPr>
        <i/>
        <sz val="12"/>
        <color theme="1"/>
        <rFont val="Calibri"/>
        <family val="2"/>
        <scheme val="minor"/>
      </rPr>
      <t xml:space="preserve">P/Q </t>
    </r>
    <r>
      <rPr>
        <sz val="12"/>
        <color theme="1"/>
        <rFont val="Calibri"/>
        <family val="2"/>
        <scheme val="minor"/>
      </rPr>
      <t xml:space="preserve">= production efficiency, </t>
    </r>
    <r>
      <rPr>
        <i/>
        <sz val="12"/>
        <color theme="1"/>
        <rFont val="Calibri"/>
        <family val="2"/>
        <scheme val="minor"/>
      </rPr>
      <t>AE</t>
    </r>
    <r>
      <rPr>
        <sz val="12"/>
        <color theme="1"/>
        <rFont val="Calibri"/>
        <family val="2"/>
        <scheme val="minor"/>
      </rPr>
      <t xml:space="preserve"> = assimilation efficiency, </t>
    </r>
    <r>
      <rPr>
        <i/>
        <sz val="12"/>
        <color theme="1"/>
        <rFont val="Calibri"/>
        <family val="2"/>
        <scheme val="minor"/>
      </rPr>
      <t>EE</t>
    </r>
    <r>
      <rPr>
        <sz val="12"/>
        <color theme="1"/>
        <rFont val="Calibri"/>
        <family val="2"/>
        <scheme val="minor"/>
      </rPr>
      <t xml:space="preserve"> = ecotrophic efficiency. Values in bold text were estimated by ECOPATH.</t>
    </r>
  </si>
  <si>
    <r>
      <rPr>
        <b/>
        <sz val="11"/>
        <rFont val="Calibri"/>
        <family val="2"/>
        <scheme val="minor"/>
      </rPr>
      <t>Table A.4</t>
    </r>
    <r>
      <rPr>
        <sz val="11"/>
        <rFont val="Calibri"/>
        <family val="2"/>
        <scheme val="minor"/>
      </rPr>
      <t xml:space="preserve"> Diet composition matrix for the fully resolved GoMex model.</t>
    </r>
  </si>
  <si>
    <t>Apr-Aug</t>
  </si>
  <si>
    <t>1996-1997,1999-2001</t>
  </si>
  <si>
    <t>2003-2004</t>
  </si>
  <si>
    <t>SeaWiFS</t>
  </si>
  <si>
    <t>AquaMODIS</t>
  </si>
  <si>
    <t>NASA cruises, Louisiana State University</t>
  </si>
  <si>
    <t>NOAA NMFS, Gulf States Marine Fisheries Commission (GSMFC) Southeast Area Monitoring and Assessment Program (SEAMAP)</t>
  </si>
  <si>
    <t>Recreational fishery landings and discards</t>
  </si>
  <si>
    <t>Commercial fishery landings of finfish, penaeid shrimp, oysters, blue crab, and small squids</t>
  </si>
  <si>
    <r>
      <rPr>
        <b/>
        <sz val="12"/>
        <color theme="1"/>
        <rFont val="Calibri"/>
        <family val="2"/>
        <scheme val="minor"/>
      </rPr>
      <t xml:space="preserve">Table A.1 </t>
    </r>
    <r>
      <rPr>
        <sz val="12"/>
        <color theme="1"/>
        <rFont val="Calibri"/>
        <family val="2"/>
        <scheme val="minor"/>
      </rPr>
      <t>GoMex model data sources</t>
    </r>
  </si>
  <si>
    <t xml:space="preserve">Landings </t>
  </si>
  <si>
    <t xml:space="preserve">Discards </t>
  </si>
  <si>
    <t>macroalgae &amp; other seagrass</t>
  </si>
  <si>
    <t>Prey (p)</t>
  </si>
  <si>
    <t>Group</t>
  </si>
  <si>
    <t>Biomass (CV)</t>
  </si>
  <si>
    <t>5 (5.06)</t>
  </si>
  <si>
    <t>5 (5.43)</t>
  </si>
  <si>
    <t>5 (9.04)</t>
  </si>
  <si>
    <t>5 (9.00)</t>
  </si>
  <si>
    <t>5 (6.14)</t>
  </si>
  <si>
    <t>5 (54.03)</t>
  </si>
  <si>
    <t>5 (4742.14)</t>
  </si>
  <si>
    <t>5 (7859.55)</t>
  </si>
  <si>
    <t>5 (2082.00)</t>
  </si>
  <si>
    <t>5 (9.18)</t>
  </si>
  <si>
    <t>PB</t>
  </si>
  <si>
    <t>QB</t>
  </si>
  <si>
    <t>PQ</t>
  </si>
  <si>
    <r>
      <t>max</t>
    </r>
    <r>
      <rPr>
        <i/>
        <sz val="11"/>
        <rFont val="Calibri"/>
        <family val="2"/>
        <scheme val="minor"/>
      </rPr>
      <t xml:space="preserve"> EE</t>
    </r>
  </si>
  <si>
    <t>macroalgae and other seagrass</t>
  </si>
  <si>
    <t>seagrass &amp; macroalgae</t>
  </si>
  <si>
    <t>mesopelagics</t>
  </si>
  <si>
    <t>5 (410.21)</t>
  </si>
  <si>
    <t>5 (20.27)</t>
  </si>
  <si>
    <t>5 (5.05)</t>
  </si>
  <si>
    <t>5 (5.12)</t>
  </si>
  <si>
    <t>5 (5.07)</t>
  </si>
  <si>
    <t>Table</t>
  </si>
  <si>
    <t>A.1</t>
  </si>
  <si>
    <t>A.2</t>
  </si>
  <si>
    <t>A.4</t>
  </si>
  <si>
    <t>A.3</t>
  </si>
  <si>
    <t>A.5</t>
  </si>
  <si>
    <t>A.6</t>
  </si>
  <si>
    <t>A.7</t>
  </si>
  <si>
    <t>A.8</t>
  </si>
  <si>
    <t>A.9</t>
  </si>
  <si>
    <t>A.10</t>
  </si>
  <si>
    <t>A.11</t>
  </si>
  <si>
    <t>A.12</t>
  </si>
  <si>
    <t>A.13</t>
  </si>
  <si>
    <t>A.14</t>
  </si>
  <si>
    <t>A.15</t>
  </si>
  <si>
    <t>A.16</t>
  </si>
  <si>
    <t>A.17</t>
  </si>
  <si>
    <t>A.18</t>
  </si>
  <si>
    <t>A.19</t>
  </si>
  <si>
    <t>A.20</t>
  </si>
  <si>
    <t>A.21</t>
  </si>
  <si>
    <t>A.22</t>
  </si>
  <si>
    <t>A.23</t>
  </si>
  <si>
    <t>GoMex model data sources</t>
  </si>
  <si>
    <t>Fully resolved GoMex model functional group definitions and aggregation</t>
  </si>
  <si>
    <t>Fully resolved GoMex model diet matrix parameter quality</t>
  </si>
  <si>
    <t>Aggregated GoMex model diet composition matrix</t>
  </si>
  <si>
    <t>Fully resolved GoMex model detritus and excretion fates</t>
  </si>
  <si>
    <t>Equations, assumptions, and references used to derive large copepod, small copepod, other mesozooplankton, fish egg, fish larvae, small gelationous carnivores, gelatinous filter-feeders, and small squid individual wet weights</t>
  </si>
  <si>
    <t>Equations from Lucas et al. (2011) used to convert geleatinous zooplankton species biovolume (mL) to biomass (g WWT)</t>
  </si>
  <si>
    <t>Length to weight (LW) equations used to calculate fish and inverebrates biomasss from length measurements done by the SEAMAP groundfish survey</t>
  </si>
  <si>
    <t>Marine mammal biomass estimate source data</t>
  </si>
  <si>
    <t>Recreational fishery discard mortality estimates</t>
  </si>
  <si>
    <t>Description</t>
  </si>
  <si>
    <r>
      <t>Long-term annual mean biomass (t WWT km</t>
    </r>
    <r>
      <rPr>
        <vertAlign val="superscript"/>
        <sz val="11"/>
        <color theme="1"/>
        <rFont val="Calibri"/>
        <family val="2"/>
        <scheme val="minor"/>
      </rPr>
      <t>-2</t>
    </r>
    <r>
      <rPr>
        <sz val="11"/>
        <color theme="1"/>
        <rFont val="Calibri"/>
        <family val="2"/>
        <scheme val="minor"/>
      </rPr>
      <t>) for marine bird groups</t>
    </r>
  </si>
  <si>
    <t>Individual mean wet weights (kg) used for marine mammals, turtles, and birds</t>
  </si>
  <si>
    <t>The fraction of finfish and blue crab functional group biomasses in the 0-20m and 20-200m depth strata from Louisana (94°W) to Alabama (88°W) relative to the total annual, long-term mean biomass in entire SEAMAP groundfish survey area</t>
  </si>
  <si>
    <t>Aggregated GoMex model detritus and excretion fates</t>
  </si>
  <si>
    <t xml:space="preserve">Fully resolved GoMex model diet composition matrix taxa and data sources </t>
  </si>
  <si>
    <t>Fully resolved GoMex model scaling factors</t>
  </si>
  <si>
    <t>Aggregated GoMex model end-to-end production matrix</t>
  </si>
  <si>
    <t>Appendix Table of Contents</t>
  </si>
  <si>
    <t>Fully resolved GoMex ECOPATH model with physicological rate data sources</t>
  </si>
  <si>
    <t>Aggregated GoMex ECOPATH model parameters</t>
  </si>
  <si>
    <t>Fully resolved GoMex model parameter pedigrees</t>
  </si>
  <si>
    <t>Zooplankton taxa and wet weights applied to model functional groups</t>
  </si>
  <si>
    <t>Fish species used to estimate commericial fishery landings</t>
  </si>
  <si>
    <t>Fish species used to estimate recreational fisherlandings</t>
  </si>
  <si>
    <t>Okey and Mahmoudi (2002)</t>
  </si>
  <si>
    <t>Geers (2012)</t>
  </si>
  <si>
    <t>Sperm &amp; beaked whales, Table C2 in Aydin et al. (2007)</t>
  </si>
  <si>
    <t>Humpback, Table C2 in Aydin et al. (2007)</t>
  </si>
  <si>
    <t>Browder (1990)</t>
  </si>
  <si>
    <t>Geers et al. (2014)</t>
  </si>
  <si>
    <t>Opitz (1993)</t>
  </si>
  <si>
    <t>Ruzicka et al. (2012)</t>
  </si>
  <si>
    <t>Geers et al. (2014), citing Walters et al. (2008)</t>
  </si>
  <si>
    <t xml:space="preserve">Aydin et al. (2003), citing Hunt et al. (2000) </t>
  </si>
  <si>
    <t>Aydin et al. (2007), sperm &amp; beaked whales; Aydin et al. 2003, citing Hunt et al.2000)</t>
  </si>
  <si>
    <t xml:space="preserve">Humpback, Table C2 in Aydin et al. (2007) </t>
  </si>
  <si>
    <t>Odum and Heald (1972)</t>
  </si>
  <si>
    <t>Diagle (2011)</t>
  </si>
  <si>
    <t>Kleppel (1993); Gifford and Dagg (1988)</t>
  </si>
  <si>
    <t>Nakamura and Turner (1997)</t>
  </si>
  <si>
    <t>Gleason and Wellington (1988); Bielsa et al. (1983); Lassuy (1983); Odum and Heald (1972)</t>
  </si>
  <si>
    <t>Purcell and Decker (2005); Rapoza et al. (2005); Purcell (1985); Purcell and Kremer (1983); Purcell (1981)</t>
  </si>
  <si>
    <t>Olsen et al. (2014); D'Ambra (2012)</t>
  </si>
  <si>
    <t>www.fishbase.org (Gómez-Canchong et al. 2004; Bowman et al. 2000; Motta et al. 1995; Yáñez-Arancibia and Lara-Dominguez 1988; Sheridan and Trimm 1983; Adams 1976; Hansen 1970; Randall 1967; Welsh and Breder Jr. 1923); Overstreet and Heard (1982)</t>
  </si>
  <si>
    <t>Bowman et al. (2000); Okey and Mahmoudi (2002)</t>
  </si>
  <si>
    <t>Diagle (2011); Fauchald and Jumars (1979); Uebelacker et al. (1984)</t>
  </si>
  <si>
    <t>Diagle (2011); Odum and Heald (1972)</t>
  </si>
  <si>
    <t>Baeta and Ramon (2013); deVries (2012); Diagle (2011); Odum and Heald (1972)</t>
  </si>
  <si>
    <t>Fogarty et al. (1981)</t>
  </si>
  <si>
    <t>Forys et al. (2013); McGinnis and Emslie (2001)</t>
  </si>
  <si>
    <t>King (1989)</t>
  </si>
  <si>
    <t>Revelles et al. (2007); Seney (2003); Bjorndale (1996)</t>
  </si>
  <si>
    <t>Seney (2003)</t>
  </si>
  <si>
    <t>Jones et al. (2012)</t>
  </si>
  <si>
    <t>Pauly et al. (1998)</t>
  </si>
  <si>
    <t>Espinoza and Bertrand (2008)</t>
  </si>
  <si>
    <t xml:space="preserve">Espinoza and Bertrand (2008) </t>
  </si>
  <si>
    <t>Cystodytes dellechiajei</t>
  </si>
  <si>
    <t>crustacea larvae</t>
  </si>
  <si>
    <t>www.fishbase.org (Gómez-Canchong et al. 2004; Bush 2003; Bowman et al. 2000; Cortés 1999); Bethea et al. (2004); Barry et al. (2008); Hoffmayer and Parsons (2003)</t>
  </si>
  <si>
    <t xml:space="preserve">Wang et al. (2012); Barros and Wells (1998); Pauly et al. (1998) </t>
  </si>
  <si>
    <t>Trites and Pauly 1998; Waring et al. 2012</t>
  </si>
  <si>
    <t>Atlantic threadfin herring from Okey et al. (2002)</t>
  </si>
  <si>
    <r>
      <t xml:space="preserve">Max </t>
    </r>
    <r>
      <rPr>
        <i/>
        <sz val="11"/>
        <rFont val="Calibri"/>
        <family val="2"/>
        <scheme val="minor"/>
      </rPr>
      <t>P/B</t>
    </r>
    <r>
      <rPr>
        <sz val="11"/>
        <rFont val="Calibri"/>
        <family val="2"/>
        <scheme val="minor"/>
      </rPr>
      <t xml:space="preserve"> for 'other demersal fishes', Geers (2012) citing Vega-Cendejas et al. (1993)</t>
    </r>
  </si>
  <si>
    <t>Snapper group from Okey and Mahmoudi (2002)</t>
  </si>
  <si>
    <r>
      <t xml:space="preserve">Average of 1.9 (adult </t>
    </r>
    <r>
      <rPr>
        <i/>
        <sz val="11"/>
        <rFont val="Calibri"/>
        <family val="2"/>
        <scheme val="minor"/>
      </rPr>
      <t>Brevoortia patronus</t>
    </r>
    <r>
      <rPr>
        <sz val="11"/>
        <rFont val="Calibri"/>
        <family val="2"/>
        <scheme val="minor"/>
      </rPr>
      <t xml:space="preserve">), 2.3 (juvenile </t>
    </r>
    <r>
      <rPr>
        <i/>
        <sz val="11"/>
        <rFont val="Calibri"/>
        <family val="2"/>
        <scheme val="minor"/>
      </rPr>
      <t>B. patronus</t>
    </r>
    <r>
      <rPr>
        <sz val="11"/>
        <rFont val="Calibri"/>
        <family val="2"/>
        <scheme val="minor"/>
      </rPr>
      <t xml:space="preserve">) from Geers (2014), and 0.95 for </t>
    </r>
    <r>
      <rPr>
        <i/>
        <sz val="11"/>
        <rFont val="Calibri"/>
        <family val="2"/>
        <scheme val="minor"/>
      </rPr>
      <t>Brevoortia</t>
    </r>
    <r>
      <rPr>
        <sz val="11"/>
        <rFont val="Calibri"/>
        <family val="2"/>
        <scheme val="minor"/>
      </rPr>
      <t xml:space="preserve"> sp. from Okey and Mahmoudi (2002)</t>
    </r>
  </si>
  <si>
    <t>www.fishbase.org; Palormares &amp; Pauly (1989)</t>
  </si>
  <si>
    <t>Rays &amp; skates group, from Okey and Mahmoudi (2002)</t>
  </si>
  <si>
    <r>
      <t xml:space="preserve">Baed on the approximate growth rate of </t>
    </r>
    <r>
      <rPr>
        <i/>
        <sz val="11"/>
        <rFont val="Calibri"/>
        <family val="2"/>
        <scheme val="minor"/>
      </rPr>
      <t xml:space="preserve">Aurelia </t>
    </r>
    <r>
      <rPr>
        <sz val="11"/>
        <rFont val="Calibri"/>
        <family val="2"/>
        <scheme val="minor"/>
      </rPr>
      <t>sp. &gt;10cm in bell diameter (Hansson 1997), where PB = 0.05 d</t>
    </r>
    <r>
      <rPr>
        <vertAlign val="superscript"/>
        <sz val="11"/>
        <rFont val="Calibri"/>
        <family val="2"/>
        <scheme val="minor"/>
      </rPr>
      <t>-1</t>
    </r>
    <r>
      <rPr>
        <sz val="11"/>
        <rFont val="Calibri"/>
        <family val="2"/>
        <scheme val="minor"/>
      </rPr>
      <t xml:space="preserve">*365; </t>
    </r>
  </si>
  <si>
    <r>
      <t>PB of 90.45 cacluated using PB = e</t>
    </r>
    <r>
      <rPr>
        <i/>
        <vertAlign val="superscript"/>
        <sz val="11"/>
        <rFont val="Calibri"/>
        <family val="2"/>
        <scheme val="minor"/>
      </rPr>
      <t>G</t>
    </r>
    <r>
      <rPr>
        <sz val="11"/>
        <rFont val="Calibri"/>
        <family val="2"/>
        <scheme val="minor"/>
      </rPr>
      <t xml:space="preserve">-1 from Hirst (2003) where </t>
    </r>
    <r>
      <rPr>
        <i/>
        <sz val="11"/>
        <rFont val="Calibri"/>
        <family val="2"/>
        <scheme val="minor"/>
      </rPr>
      <t>G</t>
    </r>
    <r>
      <rPr>
        <sz val="11"/>
        <rFont val="Calibri"/>
        <family val="2"/>
        <scheme val="minor"/>
      </rPr>
      <t xml:space="preserve"> = -0.0236 + 0.0098*25°C (Houde and Zastrow 1993) equation for shelf larvae</t>
    </r>
  </si>
  <si>
    <t>Atlantic threadfin herring from Okey and Mahmoudi (2002)</t>
  </si>
  <si>
    <t>Okey and Mahmoudi (2002), citing Vidal (2000)</t>
  </si>
  <si>
    <r>
      <t xml:space="preserve">Okey and Mahmoudi (2002):  "The </t>
    </r>
    <r>
      <rPr>
        <i/>
        <sz val="11"/>
        <rFont val="Calibri"/>
        <family val="2"/>
        <scheme val="minor"/>
      </rPr>
      <t>Q/B</t>
    </r>
    <r>
      <rPr>
        <sz val="11"/>
        <rFont val="Calibri"/>
        <family val="2"/>
        <scheme val="minor"/>
      </rPr>
      <t xml:space="preserve"> value (9 ⋅yr</t>
    </r>
    <r>
      <rPr>
        <vertAlign val="superscript"/>
        <sz val="11"/>
        <rFont val="Calibri"/>
        <family val="2"/>
        <scheme val="minor"/>
      </rPr>
      <t>-1</t>
    </r>
    <r>
      <rPr>
        <sz val="11"/>
        <rFont val="Calibri"/>
        <family val="2"/>
        <scheme val="minor"/>
      </rPr>
      <t>) is the mean of sponges (based on Wilkinson 1987) and corals (based on Sorokin 1987) also in Opitz (1993)."</t>
    </r>
  </si>
  <si>
    <r>
      <rPr>
        <i/>
        <sz val="11"/>
        <rFont val="Calibri"/>
        <family val="2"/>
        <scheme val="minor"/>
      </rPr>
      <t>Brevoortia</t>
    </r>
    <r>
      <rPr>
        <sz val="11"/>
        <rFont val="Calibri"/>
        <family val="2"/>
        <scheme val="minor"/>
      </rPr>
      <t xml:space="preserve"> spp. from (Okey and Mahmoudi 2002)</t>
    </r>
  </si>
  <si>
    <r>
      <t xml:space="preserve">Okey and Mahmoudi (2002): "The </t>
    </r>
    <r>
      <rPr>
        <i/>
        <sz val="11"/>
        <rFont val="Calibri"/>
        <family val="2"/>
        <scheme val="minor"/>
      </rPr>
      <t>P/B</t>
    </r>
    <r>
      <rPr>
        <sz val="11"/>
        <rFont val="Calibri"/>
        <family val="2"/>
        <scheme val="minor"/>
      </rPr>
      <t xml:space="preserve"> value of sessile epibenthos on the West Florida Shelf (0.8 yr</t>
    </r>
    <r>
      <rPr>
        <vertAlign val="superscript"/>
        <sz val="11"/>
        <rFont val="Calibri"/>
        <family val="2"/>
        <scheme val="minor"/>
      </rPr>
      <t>-1</t>
    </r>
    <r>
      <rPr>
        <sz val="11"/>
        <rFont val="Calibri"/>
        <family val="2"/>
        <scheme val="minor"/>
      </rPr>
      <t>) is from Odum and Odum (1955) and Sorokin (1987) in Opitz (1993)."</t>
    </r>
  </si>
  <si>
    <t>Sprung (1993)</t>
  </si>
  <si>
    <t>http://www.st.nmfs.noaa.gov/commercial-fisheries/commercial-landings/monthly-landings/index</t>
  </si>
  <si>
    <t>http://www.st.nmfs.noaa.gov/recreational-fisheries/access-data/glossary/index</t>
  </si>
  <si>
    <t>Fully resolved GoMex model diet composition matrix taxa</t>
  </si>
  <si>
    <r>
      <t>Consumer (</t>
    </r>
    <r>
      <rPr>
        <i/>
        <sz val="11"/>
        <rFont val="Calibri"/>
        <family val="2"/>
        <scheme val="minor"/>
      </rPr>
      <t>c</t>
    </r>
    <r>
      <rPr>
        <sz val="11"/>
        <rFont val="Calibri"/>
        <family val="2"/>
        <scheme val="minor"/>
      </rPr>
      <t>)</t>
    </r>
  </si>
  <si>
    <r>
      <t>prey (</t>
    </r>
    <r>
      <rPr>
        <i/>
        <sz val="11"/>
        <rFont val="Calibri"/>
        <family val="2"/>
        <scheme val="minor"/>
      </rPr>
      <t>p</t>
    </r>
    <r>
      <rPr>
        <sz val="11"/>
        <rFont val="Calibri"/>
        <family val="2"/>
        <scheme val="minor"/>
      </rPr>
      <t>)</t>
    </r>
  </si>
  <si>
    <r>
      <rPr>
        <b/>
        <sz val="14"/>
        <color theme="1"/>
        <rFont val="Calibri"/>
        <family val="2"/>
        <scheme val="minor"/>
      </rPr>
      <t xml:space="preserve">Table A.5 </t>
    </r>
    <r>
      <rPr>
        <sz val="14"/>
        <color theme="1"/>
        <rFont val="Calibri"/>
        <family val="2"/>
        <scheme val="minor"/>
      </rPr>
      <t>Taxa contributing to and data sources for fully resolved GoMex model diet composition matrix. Asterisk (*) indicates taxon not known to inhabit the model domain but were considered representative of the functional group.</t>
    </r>
  </si>
  <si>
    <r>
      <rPr>
        <b/>
        <sz val="12"/>
        <color theme="1"/>
        <rFont val="Calibri"/>
        <family val="2"/>
        <scheme val="minor"/>
      </rPr>
      <t xml:space="preserve">Table A.6 </t>
    </r>
    <r>
      <rPr>
        <sz val="12"/>
        <color theme="1"/>
        <rFont val="Calibri"/>
        <family val="2"/>
        <scheme val="minor"/>
      </rPr>
      <t>Detritus and excretion fates assumed for each functional group in the fully resolved GoMex model.</t>
    </r>
  </si>
  <si>
    <r>
      <rPr>
        <b/>
        <sz val="11"/>
        <color theme="1"/>
        <rFont val="Calibri"/>
        <family val="2"/>
        <scheme val="minor"/>
      </rPr>
      <t>Table A.7</t>
    </r>
    <r>
      <rPr>
        <sz val="11"/>
        <color theme="1"/>
        <rFont val="Calibri"/>
        <family val="2"/>
        <scheme val="minor"/>
      </rPr>
      <t xml:space="preserve"> Fully resolved GoMex model parameter pedigrees. Coefficients of variation (CV) were estimated using model domain data sets (see Table A.1). data Uncertainty about physiological rate parameters were defined using quality ‘pedigree’ recommendations of Christensen and Walter (2003). Bold text indicates CVs set to five. Original CV values are in parantheses.</t>
    </r>
  </si>
  <si>
    <r>
      <rPr>
        <b/>
        <sz val="11"/>
        <rFont val="Calibri"/>
        <family val="2"/>
        <scheme val="minor"/>
      </rPr>
      <t xml:space="preserve">Table A.8 </t>
    </r>
    <r>
      <rPr>
        <sz val="11"/>
        <rFont val="Calibri"/>
        <family val="2"/>
        <scheme val="minor"/>
      </rPr>
      <t>Diet fraction parameter quality was estimated using the coefficient of variation from diet data complied for each consumer. Bolded values were set to five. Original values are in parentheses.</t>
    </r>
  </si>
  <si>
    <r>
      <rPr>
        <b/>
        <sz val="12"/>
        <color theme="1"/>
        <rFont val="Calibri"/>
        <family val="2"/>
        <scheme val="minor"/>
      </rPr>
      <t xml:space="preserve">Table A.9 </t>
    </r>
    <r>
      <rPr>
        <sz val="12"/>
        <color theme="1"/>
        <rFont val="Calibri"/>
        <family val="2"/>
        <scheme val="minor"/>
      </rPr>
      <t xml:space="preserve">Aggregated GoMex model parameterization. </t>
    </r>
    <r>
      <rPr>
        <i/>
        <sz val="12"/>
        <color theme="1"/>
        <rFont val="Calibri"/>
        <family val="2"/>
        <scheme val="minor"/>
      </rPr>
      <t xml:space="preserve">P/B </t>
    </r>
    <r>
      <rPr>
        <sz val="12"/>
        <color theme="1"/>
        <rFont val="Calibri"/>
        <family val="2"/>
        <scheme val="minor"/>
      </rPr>
      <t xml:space="preserve">= weight-specific production rate, </t>
    </r>
    <r>
      <rPr>
        <i/>
        <sz val="12"/>
        <color theme="1"/>
        <rFont val="Calibri"/>
        <family val="2"/>
        <scheme val="minor"/>
      </rPr>
      <t xml:space="preserve">P/Q </t>
    </r>
    <r>
      <rPr>
        <sz val="12"/>
        <color theme="1"/>
        <rFont val="Calibri"/>
        <family val="2"/>
        <scheme val="minor"/>
      </rPr>
      <t xml:space="preserve">= production efficiency, </t>
    </r>
    <r>
      <rPr>
        <i/>
        <sz val="12"/>
        <color theme="1"/>
        <rFont val="Calibri"/>
        <family val="2"/>
        <scheme val="minor"/>
      </rPr>
      <t>AE</t>
    </r>
    <r>
      <rPr>
        <sz val="12"/>
        <color theme="1"/>
        <rFont val="Calibri"/>
        <family val="2"/>
        <scheme val="minor"/>
      </rPr>
      <t xml:space="preserve"> = assimilation efficiency, </t>
    </r>
    <r>
      <rPr>
        <i/>
        <sz val="12"/>
        <color theme="1"/>
        <rFont val="Calibri"/>
        <family val="2"/>
        <scheme val="minor"/>
      </rPr>
      <t>EE</t>
    </r>
    <r>
      <rPr>
        <sz val="12"/>
        <color theme="1"/>
        <rFont val="Calibri"/>
        <family val="2"/>
        <scheme val="minor"/>
      </rPr>
      <t xml:space="preserve"> = ecotrophic efficiency. Values in bold text were estimated by ECOPATH.</t>
    </r>
  </si>
  <si>
    <r>
      <rPr>
        <b/>
        <sz val="11"/>
        <rFont val="Calibri"/>
        <family val="2"/>
        <scheme val="minor"/>
      </rPr>
      <t>Table A.10</t>
    </r>
    <r>
      <rPr>
        <sz val="11"/>
        <rFont val="Calibri"/>
        <family val="2"/>
        <scheme val="minor"/>
      </rPr>
      <t xml:space="preserve"> Aggregated GoMex model diet composition matrix. Prey group 30 is the diet fraction imported from outside the domain.</t>
    </r>
  </si>
  <si>
    <r>
      <rPr>
        <b/>
        <sz val="11"/>
        <color theme="1"/>
        <rFont val="Calibri"/>
        <family val="2"/>
        <scheme val="minor"/>
      </rPr>
      <t>Table A.11</t>
    </r>
    <r>
      <rPr>
        <sz val="11"/>
        <color theme="1"/>
        <rFont val="Calibri"/>
        <family val="2"/>
        <scheme val="minor"/>
      </rPr>
      <t xml:space="preserve"> Detritus and excretion fates assumed for each functional group in the aggregated model.</t>
    </r>
  </si>
  <si>
    <r>
      <rPr>
        <b/>
        <sz val="12"/>
        <color theme="1"/>
        <rFont val="Calibri"/>
        <family val="2"/>
        <scheme val="minor"/>
      </rPr>
      <t xml:space="preserve">Table A.12 </t>
    </r>
    <r>
      <rPr>
        <sz val="12"/>
        <color theme="1"/>
        <rFont val="Calibri"/>
        <family val="2"/>
        <scheme val="minor"/>
      </rPr>
      <t>End-to-end production matrix on the aggregrated model.</t>
    </r>
  </si>
  <si>
    <r>
      <rPr>
        <b/>
        <sz val="12"/>
        <color theme="1"/>
        <rFont val="Calibri"/>
        <family val="2"/>
        <scheme val="minor"/>
      </rPr>
      <t>Table A.13</t>
    </r>
    <r>
      <rPr>
        <sz val="12"/>
        <color theme="1"/>
        <rFont val="Calibri"/>
        <family val="2"/>
        <scheme val="minor"/>
      </rPr>
      <t xml:space="preserve"> Specific taxa in the FOCAL and Pierson &amp; Roman data sets assigned to model functional groups and the taxa-specific wet weights (WWT g) used to convert from depth-intergrated densities (individuals m</t>
    </r>
    <r>
      <rPr>
        <vertAlign val="superscript"/>
        <sz val="12"/>
        <color theme="1"/>
        <rFont val="Calibri"/>
        <family val="2"/>
        <scheme val="minor"/>
      </rPr>
      <t>-2</t>
    </r>
    <r>
      <rPr>
        <sz val="12"/>
        <color theme="1"/>
        <rFont val="Calibri"/>
        <family val="2"/>
        <scheme val="minor"/>
      </rPr>
      <t>) to biomass (g WWT m</t>
    </r>
    <r>
      <rPr>
        <vertAlign val="superscript"/>
        <sz val="12"/>
        <color theme="1"/>
        <rFont val="Calibri"/>
        <family val="2"/>
        <scheme val="minor"/>
      </rPr>
      <t>-2</t>
    </r>
    <r>
      <rPr>
        <sz val="12"/>
        <color theme="1"/>
        <rFont val="Calibri"/>
        <family val="2"/>
        <scheme val="minor"/>
      </rPr>
      <t>). See Table A.13 for equations, assumptions, and references used to derive individual wet weights.</t>
    </r>
  </si>
  <si>
    <r>
      <rPr>
        <b/>
        <sz val="11"/>
        <color theme="1"/>
        <rFont val="Calibri"/>
        <family val="2"/>
        <scheme val="minor"/>
      </rPr>
      <t xml:space="preserve">Table A.14 </t>
    </r>
    <r>
      <rPr>
        <sz val="11"/>
        <color theme="1"/>
        <rFont val="Calibri"/>
        <family val="2"/>
        <scheme val="minor"/>
      </rPr>
      <t>Equations, assumptions, and references used to derive large copepod, small copepod, other mesozooplankton, fish egg, fish larvae, small gelationous carnivores, gelatinous filter-feeders, and small squid individual wet weights. BD = bell diameter, TL = total length, L = length, TrL = trunk length, C = carbon, DW = dry weight, WWT = wet weight, PL = prosome length, NH = nectophore height, OL = oral length, SL = standard length, juv = juvenile, vol = volume, NGP = non-gelatinous plankton, GP = gelatinous plankton</t>
    </r>
  </si>
  <si>
    <r>
      <rPr>
        <b/>
        <sz val="11"/>
        <color theme="1"/>
        <rFont val="Calibri"/>
        <family val="2"/>
        <scheme val="minor"/>
      </rPr>
      <t xml:space="preserve">Table A.15 </t>
    </r>
    <r>
      <rPr>
        <sz val="11"/>
        <color theme="1"/>
        <rFont val="Calibri"/>
        <family val="2"/>
        <scheme val="minor"/>
      </rPr>
      <t xml:space="preserve"> Equations from Lucas et al. (2011) used to convert geleatinous zooplankton species biovolume (mL) to biomass (g WWT). All equations were linear: </t>
    </r>
    <r>
      <rPr>
        <i/>
        <sz val="11"/>
        <color theme="1"/>
        <rFont val="Calibri"/>
        <family val="2"/>
        <scheme val="minor"/>
      </rPr>
      <t>y</t>
    </r>
    <r>
      <rPr>
        <sz val="11"/>
        <color theme="1"/>
        <rFont val="Calibri"/>
        <family val="2"/>
        <scheme val="minor"/>
      </rPr>
      <t xml:space="preserve"> = </t>
    </r>
    <r>
      <rPr>
        <i/>
        <sz val="11"/>
        <color theme="1"/>
        <rFont val="Calibri"/>
        <family val="2"/>
        <scheme val="minor"/>
      </rPr>
      <t xml:space="preserve">aX </t>
    </r>
    <r>
      <rPr>
        <sz val="11"/>
        <color theme="1"/>
        <rFont val="Calibri"/>
        <family val="2"/>
        <scheme val="minor"/>
      </rPr>
      <t>+</t>
    </r>
    <r>
      <rPr>
        <i/>
        <sz val="11"/>
        <color theme="1"/>
        <rFont val="Calibri"/>
        <family val="2"/>
        <scheme val="minor"/>
      </rPr>
      <t xml:space="preserve"> b</t>
    </r>
    <r>
      <rPr>
        <sz val="11"/>
        <color theme="1"/>
        <rFont val="Calibri"/>
        <family val="2"/>
        <scheme val="minor"/>
      </rPr>
      <t xml:space="preserve">, where </t>
    </r>
    <r>
      <rPr>
        <i/>
        <sz val="11"/>
        <color theme="1"/>
        <rFont val="Calibri"/>
        <family val="2"/>
        <scheme val="minor"/>
      </rPr>
      <t>y</t>
    </r>
    <r>
      <rPr>
        <sz val="11"/>
        <color theme="1"/>
        <rFont val="Calibri"/>
        <family val="2"/>
        <scheme val="minor"/>
      </rPr>
      <t xml:space="preserve"> is the WWT (g) and </t>
    </r>
    <r>
      <rPr>
        <i/>
        <sz val="11"/>
        <color theme="1"/>
        <rFont val="Calibri"/>
        <family val="2"/>
        <scheme val="minor"/>
      </rPr>
      <t>X</t>
    </r>
    <r>
      <rPr>
        <sz val="11"/>
        <color theme="1"/>
        <rFont val="Calibri"/>
        <family val="2"/>
        <scheme val="minor"/>
      </rPr>
      <t xml:space="preserve"> is the biovolume (mL).</t>
    </r>
  </si>
  <si>
    <r>
      <rPr>
        <b/>
        <sz val="11"/>
        <color theme="1"/>
        <rFont val="Calibri"/>
        <family val="2"/>
        <scheme val="minor"/>
      </rPr>
      <t>Table A.16</t>
    </r>
    <r>
      <rPr>
        <sz val="11"/>
        <color theme="1"/>
        <rFont val="Calibri"/>
        <family val="2"/>
        <scheme val="minor"/>
      </rPr>
      <t xml:space="preserve"> Length to weight (LW) equations used to calculate fish and inverebrates biomasss from length measurements done by the SEAMAP groundfish survey. All equations are: WWT (g) = </t>
    </r>
    <r>
      <rPr>
        <i/>
        <sz val="11"/>
        <color theme="1"/>
        <rFont val="Calibri"/>
        <family val="2"/>
        <scheme val="minor"/>
      </rPr>
      <t>a</t>
    </r>
    <r>
      <rPr>
        <sz val="11"/>
        <color theme="1"/>
        <rFont val="Calibri"/>
        <family val="2"/>
        <scheme val="minor"/>
      </rPr>
      <t>L</t>
    </r>
    <r>
      <rPr>
        <i/>
        <vertAlign val="superscript"/>
        <sz val="11"/>
        <color theme="1"/>
        <rFont val="Calibri"/>
        <family val="2"/>
        <scheme val="minor"/>
      </rPr>
      <t>b</t>
    </r>
    <r>
      <rPr>
        <sz val="11"/>
        <color theme="1"/>
        <rFont val="Calibri"/>
        <family val="2"/>
        <scheme val="minor"/>
      </rPr>
      <t>. Definitions: FL = fork length, TL = total length, SL = standard length, CW = carapace width</t>
    </r>
  </si>
  <si>
    <r>
      <rPr>
        <b/>
        <sz val="12"/>
        <color theme="1"/>
        <rFont val="Calibri"/>
        <family val="2"/>
        <scheme val="minor"/>
      </rPr>
      <t xml:space="preserve">Table A.17 </t>
    </r>
    <r>
      <rPr>
        <sz val="12"/>
        <color theme="1"/>
        <rFont val="Calibri"/>
        <family val="2"/>
        <scheme val="minor"/>
      </rPr>
      <t>Marine mammal biomass estimate source data. Field ‘East-West’ denotes the fraction of domain covered by survey east to west. The field ‘Depth’ is the fraction of domain covered by survey’s depth range. ‘Distribution’ refers to the area the population is distributed. Survey area is the area used to standardize mean counts to densities (number individuals per km</t>
    </r>
    <r>
      <rPr>
        <vertAlign val="superscript"/>
        <sz val="12"/>
        <color theme="1"/>
        <rFont val="Calibri"/>
        <family val="2"/>
        <scheme val="minor"/>
      </rPr>
      <t>2</t>
    </r>
    <r>
      <rPr>
        <sz val="12"/>
        <color theme="1"/>
        <rFont val="Calibri"/>
        <family val="2"/>
        <scheme val="minor"/>
      </rPr>
      <t>). GOM = Gulf of Mexico, N = Northern, t = metric tonnes, and WWT = wet weight.</t>
    </r>
  </si>
  <si>
    <r>
      <rPr>
        <b/>
        <sz val="12"/>
        <color theme="1"/>
        <rFont val="Calibri"/>
        <family val="2"/>
        <scheme val="minor"/>
      </rPr>
      <t xml:space="preserve">Table A.18 </t>
    </r>
    <r>
      <rPr>
        <sz val="12"/>
        <color theme="1"/>
        <rFont val="Calibri"/>
        <family val="2"/>
        <scheme val="minor"/>
      </rPr>
      <t>Individual mean wet weights (kg) used for marine mammals, turtles, and birds8</t>
    </r>
  </si>
  <si>
    <r>
      <rPr>
        <b/>
        <sz val="12"/>
        <color theme="1"/>
        <rFont val="Calibri"/>
        <family val="2"/>
        <scheme val="minor"/>
      </rPr>
      <t>Table A.19</t>
    </r>
    <r>
      <rPr>
        <sz val="12"/>
        <color theme="1"/>
        <rFont val="Calibri"/>
        <family val="2"/>
        <scheme val="minor"/>
      </rPr>
      <t xml:space="preserve"> Long-term annual mean biomass (t WWT/km</t>
    </r>
    <r>
      <rPr>
        <vertAlign val="superscript"/>
        <sz val="12"/>
        <color theme="1"/>
        <rFont val="Calibri"/>
        <family val="2"/>
        <scheme val="minor"/>
      </rPr>
      <t>2</t>
    </r>
    <r>
      <rPr>
        <sz val="12"/>
        <color theme="1"/>
        <rFont val="Calibri"/>
        <family val="2"/>
        <scheme val="minor"/>
      </rPr>
      <t>) for bird functional groups. ‘N’ is the number of records used to estimate the long-term mean biomass (kg) and STD is the standard deviation</t>
    </r>
  </si>
  <si>
    <r>
      <rPr>
        <b/>
        <sz val="12"/>
        <color theme="1"/>
        <rFont val="Calibri"/>
        <family val="2"/>
        <scheme val="minor"/>
      </rPr>
      <t xml:space="preserve">Table A.20 </t>
    </r>
    <r>
      <rPr>
        <sz val="12"/>
        <color theme="1"/>
        <rFont val="Calibri"/>
        <family val="2"/>
        <scheme val="minor"/>
      </rPr>
      <t>Fish species used to estimate commericial fishery landings of functional groups. Common names are the same as those given in the NOAA NMFS Fisheries Statistics Division database.</t>
    </r>
  </si>
  <si>
    <r>
      <rPr>
        <b/>
        <sz val="11"/>
        <color theme="1"/>
        <rFont val="Calibri"/>
        <family val="2"/>
        <scheme val="minor"/>
      </rPr>
      <t xml:space="preserve">Table A.22 </t>
    </r>
    <r>
      <rPr>
        <sz val="11"/>
        <color theme="1"/>
        <rFont val="Calibri"/>
        <family val="2"/>
        <scheme val="minor"/>
      </rPr>
      <t>Assignment of fish species in the NOAA NMFS Marine Recreational Fisheries Statistics Survey (MRFSS) and the Marine Recreational Information Program (MRIP) data sets to fully resolved model functional groups.</t>
    </r>
  </si>
  <si>
    <r>
      <rPr>
        <b/>
        <sz val="12"/>
        <color theme="1"/>
        <rFont val="Calibri"/>
        <family val="2"/>
        <scheme val="minor"/>
      </rPr>
      <t xml:space="preserve">Table A.23 </t>
    </r>
    <r>
      <rPr>
        <sz val="12"/>
        <color theme="1"/>
        <rFont val="Calibri"/>
        <family val="2"/>
        <scheme val="minor"/>
      </rPr>
      <t>Recreational fishery discard mortality estimates. Modified from (Geers 2012).</t>
    </r>
  </si>
  <si>
    <r>
      <rPr>
        <b/>
        <sz val="11"/>
        <color theme="1"/>
        <rFont val="Calibri"/>
        <family val="2"/>
        <scheme val="minor"/>
      </rPr>
      <t xml:space="preserve">Table A.24 </t>
    </r>
    <r>
      <rPr>
        <sz val="11"/>
        <color theme="1"/>
        <rFont val="Calibri"/>
        <family val="2"/>
        <scheme val="minor"/>
      </rPr>
      <t>Scaling factors original, biomass estimates were multiplied by to generate final, functional group biomass for the fully resolved model (see Table A.0.1).</t>
    </r>
  </si>
  <si>
    <t>A.24</t>
  </si>
  <si>
    <t>WWT biomass</t>
  </si>
  <si>
    <t>Applied to account for individuals swimming above the trawl or escaping beneath the bottom-trawl (Ruzicka et al. 2012)</t>
  </si>
  <si>
    <t>Applied to account for an 80% net filtration efficiency (FOCAL program)</t>
  </si>
  <si>
    <t>Kimmel et al. 2010; Roman et al. 2012; Elliot et al. 2012</t>
  </si>
  <si>
    <t>Mike Roman and James Pierson (University of Maryland Center for Environmental Science)</t>
  </si>
  <si>
    <t>Black skimmer, least tern, royal tern</t>
  </si>
  <si>
    <r>
      <rPr>
        <b/>
        <sz val="11"/>
        <color theme="1"/>
        <rFont val="Calibri"/>
        <family val="2"/>
        <scheme val="minor"/>
      </rPr>
      <t xml:space="preserve">Table A.21 </t>
    </r>
    <r>
      <rPr>
        <sz val="11"/>
        <color theme="1"/>
        <rFont val="Calibri"/>
        <family val="2"/>
        <scheme val="minor"/>
      </rPr>
      <t>The relative fraction of shrimp, blue crab, large jellyfish, small squids, and finfish functional group biomasses in the 0-20m and 20-200m depth strata from Louisana (94°</t>
    </r>
    <r>
      <rPr>
        <sz val="11"/>
        <color theme="1"/>
        <rFont val="Calibri"/>
        <family val="2"/>
      </rPr>
      <t>W</t>
    </r>
    <r>
      <rPr>
        <sz val="11"/>
        <color theme="1"/>
        <rFont val="Calibri"/>
        <family val="2"/>
        <scheme val="minor"/>
      </rPr>
      <t>) to Alabama (88°</t>
    </r>
    <r>
      <rPr>
        <sz val="11"/>
        <color theme="1"/>
        <rFont val="Calibri"/>
        <family val="2"/>
      </rPr>
      <t>W</t>
    </r>
    <r>
      <rPr>
        <sz val="11"/>
        <color theme="1"/>
        <rFont val="Calibri"/>
        <family val="2"/>
        <scheme val="minor"/>
      </rPr>
      <t>) to the total annual, long-term mean biomass in entire SEAMAP (GSMFC) groundfish survey area. Relative contribution was calculated by divding the mean biomass (t WWT km</t>
    </r>
    <r>
      <rPr>
        <vertAlign val="superscript"/>
        <sz val="11"/>
        <color theme="1"/>
        <rFont val="Calibri"/>
        <family val="2"/>
        <scheme val="minor"/>
      </rPr>
      <t>-2</t>
    </r>
    <r>
      <rPr>
        <sz val="11"/>
        <color theme="1"/>
        <rFont val="Calibri"/>
        <family val="2"/>
        <scheme val="minor"/>
      </rPr>
      <t>) of each functional group within a depth stratum by the combined biomass from the inshore and shelf strata.</t>
    </r>
  </si>
  <si>
    <t>Uye (1982)</t>
  </si>
  <si>
    <t>Lucas et al. (2011)</t>
  </si>
  <si>
    <t>Boltovosky (1999)</t>
  </si>
  <si>
    <t>Gorsky et al. (1987)</t>
  </si>
  <si>
    <t>Gibson &amp; Paffenhöfer (2000)</t>
  </si>
  <si>
    <t>Hubareva et al. (2008)</t>
  </si>
  <si>
    <t>McManus and Foster (1998)</t>
  </si>
  <si>
    <t>Kiorboe et al. (1985)</t>
  </si>
  <si>
    <t>Krylov (1968)</t>
  </si>
  <si>
    <t>Pond and Ward (2011)</t>
  </si>
  <si>
    <t>Ara (2001)</t>
  </si>
  <si>
    <t>Johnson and Allen (2005)</t>
  </si>
  <si>
    <t>Purcell (1982); Purcell and Kremer (1983)</t>
  </si>
  <si>
    <t>Mutlu (1999)</t>
  </si>
  <si>
    <t>Boer et al. (2005)</t>
  </si>
  <si>
    <t>Kaeriyama &amp; Ikeda (2002); Kaeriyama and Ikeda (2004)</t>
  </si>
  <si>
    <t>Cowan and Houde (1990)</t>
  </si>
  <si>
    <t>Lebour (1931)</t>
  </si>
  <si>
    <t>Christensen and Pauly (1993)</t>
  </si>
  <si>
    <t>Postel et al. (2000)</t>
  </si>
  <si>
    <t>Iguchi and Ikeda (1998); Postel et al. (2000)</t>
  </si>
  <si>
    <t>Ross (1982)</t>
  </si>
  <si>
    <t>Iguchi and Ikeda (1998)</t>
  </si>
  <si>
    <t>De La Cruz-Aguero (1993)</t>
  </si>
  <si>
    <t>To match estimate of other model (e.g. Geers et al. 2014); also to balance</t>
  </si>
  <si>
    <t>George (1995)</t>
  </si>
  <si>
    <t>Sprung (1984)</t>
  </si>
  <si>
    <t>Russell-Hunter et al. (1972)</t>
  </si>
  <si>
    <t>Ikeda (1970)</t>
  </si>
  <si>
    <t>Holland and Walker (1975)</t>
  </si>
  <si>
    <t>Brito et al. (2000)</t>
  </si>
  <si>
    <t>Nates and McKenney (2000)</t>
  </si>
  <si>
    <t>Sulkin and McKeen (1999)</t>
  </si>
  <si>
    <t>Haefner Jr. (1964)</t>
  </si>
  <si>
    <t>James et al. (2007)</t>
  </si>
  <si>
    <t>Trites and Pauly (1998)</t>
  </si>
  <si>
    <r>
      <t>SEDAR (2009</t>
    </r>
    <r>
      <rPr>
        <i/>
        <sz val="11"/>
        <color theme="1"/>
        <rFont val="Calibri"/>
        <family val="2"/>
        <scheme val="minor"/>
      </rPr>
      <t>a)</t>
    </r>
  </si>
  <si>
    <r>
      <t>SEDAR (2009</t>
    </r>
    <r>
      <rPr>
        <i/>
        <sz val="11"/>
        <color theme="1"/>
        <rFont val="Calibri"/>
        <family val="2"/>
        <scheme val="minor"/>
      </rPr>
      <t>b)</t>
    </r>
  </si>
  <si>
    <t>Duffy (1999); AMRD (2007)</t>
  </si>
  <si>
    <t>NEFSC (2010)</t>
  </si>
  <si>
    <t>Broadhurst et al. (2011)</t>
  </si>
  <si>
    <t>SEDAR (2005)</t>
  </si>
  <si>
    <t>Hueter &amp; Manire (1994)</t>
  </si>
  <si>
    <t>Dwarf sandperch, www.fishbase.org, Palomares and Pauly (1989)</t>
  </si>
  <si>
    <r>
      <t xml:space="preserve">Black drum </t>
    </r>
    <r>
      <rPr>
        <i/>
        <sz val="11"/>
        <rFont val="Calibri"/>
        <family val="2"/>
        <scheme val="minor"/>
      </rPr>
      <t xml:space="preserve">(Pogonias cromis) </t>
    </r>
    <r>
      <rPr>
        <sz val="11"/>
        <rFont val="Calibri"/>
        <family val="2"/>
        <scheme val="minor"/>
      </rPr>
      <t>in Palomares and Pauly (1989) equation</t>
    </r>
  </si>
  <si>
    <t>sand perch, www.fishbase.org, Palomares and Pauly (1989)</t>
  </si>
  <si>
    <t>D'Ambra (2012); Shiplett (2011); Purcell and Sturdevent (2001); Purcell et al. (1994); Purcell (1992); Purcell (1985); group expertise</t>
  </si>
  <si>
    <r>
      <t>U.S. Fish &amp; Wildlife (2012</t>
    </r>
    <r>
      <rPr>
        <i/>
        <sz val="12"/>
        <color rgb="FF000000"/>
        <rFont val="Calibri"/>
        <family val="2"/>
        <scheme val="minor"/>
      </rPr>
      <t>a</t>
    </r>
    <r>
      <rPr>
        <sz val="12"/>
        <color rgb="FF000000"/>
        <rFont val="Calibri"/>
        <family val="2"/>
        <scheme val="minor"/>
      </rPr>
      <t>); Arthur et al. (2008)</t>
    </r>
  </si>
  <si>
    <r>
      <t>U.S. Fish and Wildlife  Service (2012</t>
    </r>
    <r>
      <rPr>
        <i/>
        <sz val="11"/>
        <color theme="1"/>
        <rFont val="Calibri"/>
        <family val="2"/>
        <scheme val="minor"/>
      </rPr>
      <t>a</t>
    </r>
    <r>
      <rPr>
        <sz val="11"/>
        <color theme="1"/>
        <rFont val="Calibri"/>
        <family val="2"/>
        <scheme val="minor"/>
      </rPr>
      <t>)</t>
    </r>
  </si>
  <si>
    <r>
      <t>U.S. Fish and Wildlife  Service (2012</t>
    </r>
    <r>
      <rPr>
        <i/>
        <sz val="11"/>
        <color theme="1"/>
        <rFont val="Calibri"/>
        <family val="2"/>
        <scheme val="minor"/>
      </rPr>
      <t>b</t>
    </r>
    <r>
      <rPr>
        <sz val="11"/>
        <color theme="1"/>
        <rFont val="Calibri"/>
        <family val="2"/>
        <scheme val="minor"/>
      </rPr>
      <t>)</t>
    </r>
  </si>
  <si>
    <t>Rumohr et al. (1987)</t>
  </si>
  <si>
    <t>Sea Turtle Conservancy (STC) (2014)</t>
  </si>
  <si>
    <t>Tarjuelo and Turon (2004)</t>
  </si>
  <si>
    <t>Troedsson et al. (2007)</t>
  </si>
  <si>
    <t>Mean of life stanzas from Walters et al. (2008)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</si>
</sst>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
    <numFmt numFmtId="165" formatCode="0.0000"/>
    <numFmt numFmtId="166" formatCode="0.000"/>
    <numFmt numFmtId="167" formatCode="0.000E+00"/>
    <numFmt numFmtId="168" formatCode="[$-409]d\-mmm\-yyyy;@"/>
  </numFmts>
  <fonts count="47" x14ac:knownFonts="1">
    <font>
      <sz val="11"/>
      <color theme="1"/>
      <name val="Calibri"/>
      <family val="2"/>
      <scheme val="minor"/>
    </font>
    <font>
      <sz val="11"/>
      <color indexed="8"/>
      <name val="Calibri"/>
    </font>
    <font>
      <sz val="10"/>
      <color indexed="8"/>
      <name val="Arial"/>
    </font>
    <font>
      <sz val="11"/>
      <color indexed="8"/>
      <name val="Calibri"/>
      <family val="2"/>
    </font>
    <font>
      <i/>
      <sz val="11"/>
      <color indexed="8"/>
      <name val="Calibri"/>
      <family val="2"/>
    </font>
    <font>
      <sz val="11"/>
      <color theme="1"/>
      <name val="Calibri"/>
      <family val="2"/>
      <scheme val="minor"/>
    </font>
    <font>
      <i/>
      <sz val="11"/>
      <color theme="1"/>
      <name val="Calibri"/>
      <family val="2"/>
      <scheme val="minor"/>
    </font>
    <font>
      <sz val="10"/>
      <name val="Arial"/>
      <family val="2"/>
    </font>
    <font>
      <sz val="11"/>
      <name val="Calibri"/>
      <family val="2"/>
      <scheme val="minor"/>
    </font>
    <font>
      <sz val="11"/>
      <color theme="1"/>
      <name val="Calibri"/>
      <family val="2"/>
    </font>
    <font>
      <vertAlign val="superscript"/>
      <sz val="11"/>
      <color theme="1"/>
      <name val="Calibri"/>
      <family val="2"/>
      <scheme val="minor"/>
    </font>
    <font>
      <vertAlign val="superscript"/>
      <sz val="11"/>
      <color theme="1"/>
      <name val="Calibri"/>
      <family val="2"/>
    </font>
    <font>
      <sz val="11"/>
      <color indexed="8"/>
      <name val="Calibri"/>
      <family val="2"/>
      <scheme val="minor"/>
    </font>
    <font>
      <vertAlign val="subscript"/>
      <sz val="11"/>
      <color theme="1"/>
      <name val="Calibri"/>
      <family val="2"/>
      <scheme val="minor"/>
    </font>
    <font>
      <sz val="12.3"/>
      <color theme="1"/>
      <name val="Calibri"/>
      <family val="2"/>
    </font>
    <font>
      <i/>
      <vertAlign val="superscript"/>
      <sz val="11"/>
      <color theme="1"/>
      <name val="Calibri"/>
      <family val="2"/>
      <scheme val="minor"/>
    </font>
    <font>
      <sz val="12.1"/>
      <color theme="1"/>
      <name val="Calibri"/>
      <family val="2"/>
    </font>
    <font>
      <vertAlign val="superscript"/>
      <sz val="12.1"/>
      <color theme="1"/>
      <name val="Calibri"/>
      <family val="2"/>
    </font>
    <font>
      <vertAlign val="subscript"/>
      <sz val="11"/>
      <name val="Calibri"/>
      <family val="2"/>
      <scheme val="minor"/>
    </font>
    <font>
      <vertAlign val="subscript"/>
      <sz val="10"/>
      <color theme="1"/>
      <name val="Calibri"/>
      <family val="2"/>
      <scheme val="minor"/>
    </font>
    <font>
      <b/>
      <sz val="11"/>
      <color theme="1"/>
      <name val="Calibri"/>
      <family val="2"/>
      <scheme val="minor"/>
    </font>
    <font>
      <i/>
      <sz val="12"/>
      <color theme="1"/>
      <name val="Calibri"/>
      <family val="2"/>
      <scheme val="minor"/>
    </font>
    <font>
      <sz val="12"/>
      <color theme="1"/>
      <name val="Calibri"/>
      <family val="2"/>
      <scheme val="minor"/>
    </font>
    <font>
      <sz val="12"/>
      <color rgb="FF000000"/>
      <name val="Calibri"/>
      <family val="2"/>
      <scheme val="minor"/>
    </font>
    <font>
      <vertAlign val="superscript"/>
      <sz val="12"/>
      <color theme="1"/>
      <name val="Calibri"/>
      <family val="2"/>
      <scheme val="minor"/>
    </font>
    <font>
      <b/>
      <sz val="12"/>
      <color theme="1"/>
      <name val="Calibri"/>
      <family val="2"/>
      <scheme val="minor"/>
    </font>
    <font>
      <sz val="11"/>
      <color rgb="FF000000"/>
      <name val="Calibri"/>
      <family val="2"/>
      <scheme val="minor"/>
    </font>
    <font>
      <u/>
      <sz val="11"/>
      <color theme="10"/>
      <name val="Calibri"/>
      <family val="2"/>
      <scheme val="minor"/>
    </font>
    <font>
      <i/>
      <sz val="12"/>
      <color rgb="FF000000"/>
      <name val="Calibri"/>
      <family val="2"/>
      <scheme val="minor"/>
    </font>
    <font>
      <i/>
      <sz val="11"/>
      <color rgb="FF000000"/>
      <name val="Calibri"/>
      <family val="2"/>
      <scheme val="minor"/>
    </font>
    <font>
      <b/>
      <sz val="11"/>
      <name val="Calibri"/>
      <family val="2"/>
      <scheme val="minor"/>
    </font>
    <font>
      <i/>
      <sz val="11"/>
      <name val="Calibri"/>
      <family val="2"/>
      <scheme val="minor"/>
    </font>
    <font>
      <sz val="10"/>
      <color indexed="8"/>
      <name val="Arial"/>
      <family val="2"/>
    </font>
    <font>
      <sz val="11"/>
      <color rgb="FFC00000"/>
      <name val="Calibri"/>
      <family val="2"/>
      <scheme val="minor"/>
    </font>
    <font>
      <vertAlign val="superscript"/>
      <sz val="11"/>
      <color indexed="8"/>
      <name val="Calibri"/>
      <family val="2"/>
    </font>
    <font>
      <vertAlign val="superscript"/>
      <sz val="11"/>
      <name val="Calibri"/>
      <family val="2"/>
      <scheme val="minor"/>
    </font>
    <font>
      <i/>
      <vertAlign val="superscript"/>
      <sz val="11"/>
      <name val="Calibri"/>
      <family val="2"/>
      <scheme val="minor"/>
    </font>
    <font>
      <vertAlign val="superscript"/>
      <sz val="10"/>
      <color indexed="8"/>
      <name val="Arial"/>
      <family val="2"/>
    </font>
    <font>
      <b/>
      <vertAlign val="superscript"/>
      <sz val="10"/>
      <color indexed="8"/>
      <name val="Arial"/>
      <family val="2"/>
    </font>
    <font>
      <sz val="12"/>
      <color theme="1"/>
      <name val="Calibri"/>
      <family val="2"/>
    </font>
    <font>
      <vertAlign val="superscript"/>
      <sz val="12"/>
      <color theme="1"/>
      <name val="Calibri"/>
      <family val="2"/>
    </font>
    <font>
      <i/>
      <sz val="12"/>
      <color theme="1"/>
      <name val="Calibri"/>
      <family val="2"/>
    </font>
    <font>
      <u/>
      <sz val="12"/>
      <color theme="10"/>
      <name val="Calibri"/>
      <family val="2"/>
      <scheme val="minor"/>
    </font>
    <font>
      <sz val="10"/>
      <color theme="1"/>
      <name val="Times New Roman"/>
      <family val="1"/>
    </font>
    <font>
      <sz val="10"/>
      <name val="Arial"/>
    </font>
    <font>
      <sz val="14"/>
      <color theme="1"/>
      <name val="Calibri"/>
      <family val="2"/>
      <scheme val="minor"/>
    </font>
    <font>
      <b/>
      <sz val="14"/>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bgColor indexed="0"/>
      </patternFill>
    </fill>
    <fill>
      <patternFill patternType="solid">
        <fgColor theme="2"/>
        <bgColor indexed="64"/>
      </patternFill>
    </fill>
  </fills>
  <borders count="8">
    <border>
      <left/>
      <right/>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right/>
      <top style="medium">
        <color indexed="64"/>
      </top>
      <bottom/>
      <diagonal/>
    </border>
    <border>
      <left/>
      <right/>
      <top style="thin">
        <color indexed="64"/>
      </top>
      <bottom/>
      <diagonal/>
    </border>
    <border>
      <left/>
      <right/>
      <top style="medium">
        <color indexed="64"/>
      </top>
      <bottom style="medium">
        <color indexed="64"/>
      </bottom>
      <diagonal/>
    </border>
    <border>
      <left style="thin">
        <color indexed="22"/>
      </left>
      <right style="thin">
        <color indexed="22"/>
      </right>
      <top style="thin">
        <color indexed="22"/>
      </top>
      <bottom style="thin">
        <color indexed="22"/>
      </bottom>
      <diagonal/>
    </border>
  </borders>
  <cellStyleXfs count="11">
    <xf numFmtId="0" fontId="0" fillId="0" borderId="0"/>
    <xf numFmtId="0" fontId="2" fillId="0" borderId="0"/>
    <xf numFmtId="9" fontId="5" fillId="0" borderId="0" applyFont="0" applyFill="0" applyBorder="0" applyAlignment="0" applyProtection="0"/>
    <xf numFmtId="0" fontId="7" fillId="0" borderId="0">
      <alignment vertical="center"/>
    </xf>
    <xf numFmtId="43" fontId="5" fillId="0" borderId="0" applyFont="0" applyFill="0" applyBorder="0" applyAlignment="0" applyProtection="0"/>
    <xf numFmtId="0" fontId="27" fillId="0" borderId="0" applyNumberFormat="0" applyFill="0" applyBorder="0" applyAlignment="0" applyProtection="0"/>
    <xf numFmtId="0" fontId="32" fillId="0" borderId="0"/>
    <xf numFmtId="0" fontId="32" fillId="0" borderId="0"/>
    <xf numFmtId="0" fontId="32" fillId="0" borderId="0"/>
    <xf numFmtId="0" fontId="32" fillId="0" borderId="0"/>
    <xf numFmtId="0" fontId="44" fillId="0" borderId="0"/>
  </cellStyleXfs>
  <cellXfs count="462">
    <xf numFmtId="0" fontId="0" fillId="0" borderId="0" xfId="0"/>
    <xf numFmtId="0" fontId="0" fillId="0" borderId="0" xfId="0" applyAlignment="1">
      <alignment horizontal="center"/>
    </xf>
    <xf numFmtId="0" fontId="0" fillId="0" borderId="0" xfId="0" applyAlignment="1">
      <alignment horizontal="left"/>
    </xf>
    <xf numFmtId="0" fontId="0" fillId="0" borderId="0" xfId="0" applyAlignment="1"/>
    <xf numFmtId="0" fontId="0" fillId="0" borderId="0" xfId="0" applyFont="1"/>
    <xf numFmtId="0" fontId="6" fillId="0" borderId="0" xfId="0" applyFont="1"/>
    <xf numFmtId="0" fontId="0" fillId="0" borderId="0" xfId="0" applyFill="1"/>
    <xf numFmtId="0" fontId="0" fillId="0" borderId="0" xfId="0" applyFont="1" applyAlignment="1">
      <alignment wrapText="1"/>
    </xf>
    <xf numFmtId="0" fontId="0" fillId="0" borderId="0" xfId="0" applyBorder="1"/>
    <xf numFmtId="0" fontId="0" fillId="0" borderId="0" xfId="0" applyAlignment="1">
      <alignment vertical="top"/>
    </xf>
    <xf numFmtId="0" fontId="0" fillId="2" borderId="0" xfId="0" applyFill="1" applyBorder="1"/>
    <xf numFmtId="0" fontId="0" fillId="2" borderId="0" xfId="0" applyFill="1" applyBorder="1" applyAlignment="1">
      <alignment horizontal="left" wrapText="1"/>
    </xf>
    <xf numFmtId="0" fontId="22" fillId="0" borderId="0" xfId="0" applyFont="1"/>
    <xf numFmtId="0" fontId="1" fillId="2" borderId="0" xfId="1" applyFont="1" applyFill="1" applyBorder="1" applyAlignment="1">
      <alignment wrapText="1"/>
    </xf>
    <xf numFmtId="0" fontId="4" fillId="2" borderId="0" xfId="1" applyFont="1" applyFill="1" applyBorder="1" applyAlignment="1">
      <alignment wrapText="1"/>
    </xf>
    <xf numFmtId="0" fontId="3" fillId="2" borderId="0" xfId="1" applyFont="1" applyFill="1" applyBorder="1" applyAlignment="1">
      <alignment wrapText="1"/>
    </xf>
    <xf numFmtId="11" fontId="1" fillId="2" borderId="0" xfId="1" applyNumberFormat="1" applyFont="1" applyFill="1" applyBorder="1" applyAlignment="1">
      <alignment horizontal="center" wrapText="1"/>
    </xf>
    <xf numFmtId="0" fontId="0" fillId="2" borderId="0" xfId="0" applyFill="1" applyBorder="1" applyAlignment="1">
      <alignment horizontal="center"/>
    </xf>
    <xf numFmtId="0" fontId="0" fillId="2" borderId="0" xfId="0" applyFont="1" applyFill="1"/>
    <xf numFmtId="0" fontId="0" fillId="2" borderId="0" xfId="0" applyFill="1" applyAlignment="1">
      <alignment horizontal="left"/>
    </xf>
    <xf numFmtId="0" fontId="0" fillId="2" borderId="0" xfId="0" applyFill="1"/>
    <xf numFmtId="0" fontId="0" fillId="2" borderId="0" xfId="0" applyFill="1" applyAlignment="1">
      <alignment horizontal="center"/>
    </xf>
    <xf numFmtId="0" fontId="0" fillId="2" borderId="3" xfId="0" applyFill="1" applyBorder="1"/>
    <xf numFmtId="0" fontId="0" fillId="2" borderId="3" xfId="0" applyFill="1" applyBorder="1" applyAlignment="1">
      <alignment horizontal="left"/>
    </xf>
    <xf numFmtId="0" fontId="0" fillId="2" borderId="3" xfId="0" applyFill="1" applyBorder="1" applyAlignment="1">
      <alignment horizontal="center"/>
    </xf>
    <xf numFmtId="0" fontId="0" fillId="2" borderId="0" xfId="0" applyFill="1" applyBorder="1" applyAlignment="1">
      <alignment horizontal="left"/>
    </xf>
    <xf numFmtId="0" fontId="20" fillId="2" borderId="0" xfId="0" applyFont="1" applyFill="1"/>
    <xf numFmtId="0" fontId="0" fillId="2" borderId="0" xfId="0" applyFill="1" applyAlignment="1">
      <alignment horizontal="right"/>
    </xf>
    <xf numFmtId="0" fontId="22" fillId="2" borderId="0" xfId="0" applyFont="1" applyFill="1" applyAlignment="1">
      <alignment horizontal="left" vertical="top"/>
    </xf>
    <xf numFmtId="0" fontId="21" fillId="2" borderId="0" xfId="0" applyFont="1" applyFill="1" applyAlignment="1">
      <alignment vertical="top"/>
    </xf>
    <xf numFmtId="0" fontId="22" fillId="2" borderId="0" xfId="0" applyFont="1" applyFill="1" applyAlignment="1">
      <alignment vertical="top" wrapText="1"/>
    </xf>
    <xf numFmtId="0" fontId="0" fillId="2" borderId="0" xfId="0" applyFill="1" applyAlignment="1">
      <alignment horizontal="left" vertical="top"/>
    </xf>
    <xf numFmtId="0" fontId="0" fillId="2" borderId="0" xfId="0" applyFill="1" applyAlignment="1">
      <alignment horizontal="left" vertical="top" wrapText="1"/>
    </xf>
    <xf numFmtId="0" fontId="0" fillId="2" borderId="0" xfId="0" quotePrefix="1" applyNumberFormat="1" applyFill="1" applyAlignment="1">
      <alignment horizontal="left" vertical="top"/>
    </xf>
    <xf numFmtId="0" fontId="22" fillId="2" borderId="0" xfId="0" applyFont="1" applyFill="1" applyAlignment="1">
      <alignment horizontal="right" vertical="top"/>
    </xf>
    <xf numFmtId="0" fontId="0" fillId="2" borderId="0" xfId="0" applyFill="1" applyAlignment="1">
      <alignment vertical="top"/>
    </xf>
    <xf numFmtId="0" fontId="22" fillId="2" borderId="0" xfId="0" applyFont="1" applyFill="1" applyAlignment="1">
      <alignment vertical="top"/>
    </xf>
    <xf numFmtId="0" fontId="0" fillId="2" borderId="0" xfId="0" applyFont="1" applyFill="1" applyAlignment="1">
      <alignment horizontal="left" vertical="top"/>
    </xf>
    <xf numFmtId="0" fontId="0" fillId="2" borderId="0" xfId="0" applyNumberFormat="1" applyFill="1" applyAlignment="1">
      <alignment horizontal="left" vertical="top"/>
    </xf>
    <xf numFmtId="0" fontId="23" fillId="2" borderId="0" xfId="0" applyFont="1" applyFill="1" applyAlignment="1">
      <alignment horizontal="left" vertical="top"/>
    </xf>
    <xf numFmtId="0" fontId="20" fillId="2" borderId="0" xfId="0" applyFont="1" applyFill="1" applyAlignment="1">
      <alignment horizontal="left" vertical="top"/>
    </xf>
    <xf numFmtId="0" fontId="0" fillId="2" borderId="0" xfId="0" applyFont="1" applyFill="1" applyAlignment="1">
      <alignment vertical="top"/>
    </xf>
    <xf numFmtId="3" fontId="26" fillId="2" borderId="0" xfId="0" applyNumberFormat="1" applyFont="1" applyFill="1" applyAlignment="1">
      <alignment horizontal="left" vertical="top"/>
    </xf>
    <xf numFmtId="3" fontId="26" fillId="2" borderId="3" xfId="0" applyNumberFormat="1" applyFont="1" applyFill="1" applyBorder="1" applyAlignment="1">
      <alignment horizontal="left" vertical="top"/>
    </xf>
    <xf numFmtId="3" fontId="26" fillId="2" borderId="0" xfId="0" applyNumberFormat="1" applyFont="1" applyFill="1" applyBorder="1" applyAlignment="1">
      <alignment horizontal="left" vertical="top"/>
    </xf>
    <xf numFmtId="0" fontId="0" fillId="2" borderId="4" xfId="0" applyFill="1" applyBorder="1" applyAlignment="1">
      <alignment horizontal="left" vertical="center" wrapText="1"/>
    </xf>
    <xf numFmtId="0" fontId="0" fillId="2" borderId="3" xfId="0" applyFill="1" applyBorder="1" applyAlignment="1">
      <alignment horizontal="left" vertical="center" wrapText="1"/>
    </xf>
    <xf numFmtId="0" fontId="0" fillId="2" borderId="0" xfId="0" applyFill="1" applyAlignment="1">
      <alignment horizontal="left" vertical="center" wrapText="1"/>
    </xf>
    <xf numFmtId="0" fontId="22" fillId="0" borderId="0" xfId="0" applyFont="1" applyAlignment="1">
      <alignment horizontal="center"/>
    </xf>
    <xf numFmtId="0" fontId="23" fillId="2" borderId="6" xfId="0" applyFont="1" applyFill="1" applyBorder="1" applyAlignment="1">
      <alignment horizontal="center" vertical="center"/>
    </xf>
    <xf numFmtId="0" fontId="23" fillId="2" borderId="6" xfId="0" applyFont="1" applyFill="1" applyBorder="1" applyAlignment="1">
      <alignment horizontal="left" vertical="center"/>
    </xf>
    <xf numFmtId="0" fontId="23" fillId="2" borderId="6" xfId="0" applyFont="1" applyFill="1" applyBorder="1" applyAlignment="1">
      <alignment horizontal="left" vertical="center" wrapText="1"/>
    </xf>
    <xf numFmtId="0" fontId="23" fillId="2" borderId="0" xfId="0" applyFont="1" applyFill="1" applyAlignment="1">
      <alignment horizontal="center" vertical="top"/>
    </xf>
    <xf numFmtId="0" fontId="23" fillId="2" borderId="0" xfId="0" applyFont="1" applyFill="1" applyAlignment="1">
      <alignment horizontal="left" vertical="top" wrapText="1"/>
    </xf>
    <xf numFmtId="0" fontId="28" fillId="2" borderId="0" xfId="0" applyFont="1" applyFill="1" applyAlignment="1">
      <alignment horizontal="left" vertical="top" wrapText="1"/>
    </xf>
    <xf numFmtId="0" fontId="23" fillId="2" borderId="3" xfId="0" applyFont="1" applyFill="1" applyBorder="1" applyAlignment="1">
      <alignment horizontal="center" vertical="top"/>
    </xf>
    <xf numFmtId="0" fontId="23" fillId="2" borderId="3" xfId="0" applyFont="1" applyFill="1" applyBorder="1" applyAlignment="1">
      <alignment horizontal="left" vertical="top"/>
    </xf>
    <xf numFmtId="0" fontId="28" fillId="2" borderId="3" xfId="0" applyFont="1" applyFill="1" applyBorder="1" applyAlignment="1">
      <alignment horizontal="left" vertical="top" wrapText="1"/>
    </xf>
    <xf numFmtId="0" fontId="23" fillId="2" borderId="3" xfId="0" applyFont="1" applyFill="1" applyBorder="1" applyAlignment="1">
      <alignment horizontal="left" vertical="top" wrapText="1"/>
    </xf>
    <xf numFmtId="0" fontId="0" fillId="2" borderId="6" xfId="0" applyFill="1" applyBorder="1" applyAlignment="1">
      <alignment horizontal="left" vertical="center"/>
    </xf>
    <xf numFmtId="0" fontId="0" fillId="2" borderId="0" xfId="0" applyFill="1" applyAlignment="1">
      <alignment horizontal="left" vertical="center"/>
    </xf>
    <xf numFmtId="0" fontId="0" fillId="2" borderId="3" xfId="0" applyFill="1" applyBorder="1" applyAlignment="1">
      <alignment horizontal="left" vertical="center"/>
    </xf>
    <xf numFmtId="0" fontId="27" fillId="2" borderId="0" xfId="5" applyFill="1" applyAlignment="1">
      <alignment horizontal="left" vertical="center" wrapText="1"/>
    </xf>
    <xf numFmtId="0" fontId="27" fillId="2" borderId="3" xfId="5" applyFill="1" applyBorder="1" applyAlignment="1">
      <alignment horizontal="left" vertical="center" wrapText="1"/>
    </xf>
    <xf numFmtId="0" fontId="6" fillId="2" borderId="0" xfId="0" applyFont="1" applyFill="1" applyAlignment="1">
      <alignment horizontal="left" vertical="center" wrapText="1"/>
    </xf>
    <xf numFmtId="0" fontId="29" fillId="2" borderId="0" xfId="0" applyFont="1" applyFill="1" applyAlignment="1">
      <alignment horizontal="left" vertical="center" wrapText="1"/>
    </xf>
    <xf numFmtId="0" fontId="26" fillId="2" borderId="0" xfId="0" applyFont="1" applyFill="1" applyAlignment="1">
      <alignment horizontal="left" vertical="center" wrapText="1"/>
    </xf>
    <xf numFmtId="0" fontId="29" fillId="2" borderId="3" xfId="0" applyFont="1" applyFill="1" applyBorder="1" applyAlignment="1">
      <alignment horizontal="left" vertical="center" wrapText="1"/>
    </xf>
    <xf numFmtId="0" fontId="26" fillId="2" borderId="3" xfId="0" applyFont="1" applyFill="1" applyBorder="1" applyAlignment="1">
      <alignment horizontal="left" vertical="center" wrapText="1"/>
    </xf>
    <xf numFmtId="0" fontId="0" fillId="2" borderId="4" xfId="0" applyFill="1" applyBorder="1" applyAlignment="1">
      <alignment horizontal="left" wrapText="1"/>
    </xf>
    <xf numFmtId="0" fontId="6" fillId="2" borderId="3" xfId="0" applyFont="1" applyFill="1" applyBorder="1" applyAlignment="1">
      <alignment horizontal="left" vertical="center" wrapText="1"/>
    </xf>
    <xf numFmtId="0" fontId="0" fillId="2" borderId="6" xfId="0" applyFill="1" applyBorder="1" applyAlignment="1">
      <alignment vertical="center" wrapText="1"/>
    </xf>
    <xf numFmtId="0" fontId="0" fillId="2" borderId="0" xfId="0" applyFill="1" applyAlignment="1">
      <alignment vertical="center" wrapText="1"/>
    </xf>
    <xf numFmtId="0" fontId="0" fillId="2" borderId="3" xfId="0" applyFill="1" applyBorder="1" applyAlignment="1">
      <alignment vertical="center" wrapText="1"/>
    </xf>
    <xf numFmtId="0" fontId="0" fillId="2" borderId="3" xfId="0" applyFill="1" applyBorder="1" applyAlignment="1">
      <alignment vertical="top" wrapText="1"/>
    </xf>
    <xf numFmtId="0" fontId="0" fillId="2" borderId="4" xfId="0" applyFill="1" applyBorder="1" applyAlignment="1">
      <alignment horizontal="left" vertical="center"/>
    </xf>
    <xf numFmtId="0" fontId="0" fillId="2" borderId="0" xfId="0" applyFill="1" applyBorder="1" applyAlignment="1">
      <alignment horizontal="left" vertical="center"/>
    </xf>
    <xf numFmtId="0" fontId="0" fillId="2" borderId="0" xfId="0" applyFill="1" applyBorder="1" applyAlignment="1">
      <alignment horizontal="left" vertical="center" wrapText="1"/>
    </xf>
    <xf numFmtId="0" fontId="22" fillId="2" borderId="0" xfId="0" applyFont="1" applyFill="1"/>
    <xf numFmtId="0" fontId="29" fillId="2" borderId="0" xfId="0" applyFont="1" applyFill="1" applyBorder="1" applyAlignment="1">
      <alignment horizontal="left" vertical="top" wrapText="1"/>
    </xf>
    <xf numFmtId="0" fontId="26" fillId="2" borderId="0" xfId="0" applyFont="1" applyFill="1" applyBorder="1" applyAlignment="1">
      <alignment horizontal="left" vertical="top" wrapText="1"/>
    </xf>
    <xf numFmtId="0" fontId="0" fillId="2" borderId="0" xfId="0" applyFont="1" applyFill="1" applyBorder="1" applyAlignment="1">
      <alignment horizontal="center" vertical="top" wrapText="1"/>
    </xf>
    <xf numFmtId="0" fontId="0" fillId="2" borderId="0" xfId="0" applyFont="1" applyFill="1" applyBorder="1" applyAlignment="1">
      <alignment horizontal="left" vertical="top" wrapText="1"/>
    </xf>
    <xf numFmtId="0" fontId="6" fillId="2" borderId="0"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3" xfId="0" applyFont="1" applyFill="1" applyBorder="1" applyAlignment="1">
      <alignment horizontal="center" vertical="top" wrapText="1"/>
    </xf>
    <xf numFmtId="0" fontId="0" fillId="2" borderId="3" xfId="0" applyFont="1" applyFill="1" applyBorder="1" applyAlignment="1">
      <alignment horizontal="left" vertical="top" wrapText="1"/>
    </xf>
    <xf numFmtId="0" fontId="0" fillId="0" borderId="0" xfId="0" applyFont="1" applyAlignment="1">
      <alignment vertical="top" wrapText="1"/>
    </xf>
    <xf numFmtId="0" fontId="6" fillId="2" borderId="0" xfId="0" applyFont="1" applyFill="1" applyBorder="1" applyAlignment="1">
      <alignment horizontal="left" wrapText="1"/>
    </xf>
    <xf numFmtId="0" fontId="22" fillId="2" borderId="0" xfId="0" applyFont="1" applyFill="1" applyBorder="1" applyAlignment="1">
      <alignment horizontal="center" wrapText="1"/>
    </xf>
    <xf numFmtId="0" fontId="22" fillId="2" borderId="3" xfId="0" applyFont="1" applyFill="1" applyBorder="1" applyAlignment="1">
      <alignment horizontal="center" vertical="center" wrapText="1"/>
    </xf>
    <xf numFmtId="0" fontId="8" fillId="0" borderId="0" xfId="0" applyFont="1" applyFill="1" applyAlignment="1"/>
    <xf numFmtId="2" fontId="30" fillId="0" borderId="2" xfId="0" applyNumberFormat="1" applyFont="1" applyFill="1" applyBorder="1" applyAlignment="1">
      <alignment horizontal="left"/>
    </xf>
    <xf numFmtId="0" fontId="8" fillId="2" borderId="2" xfId="0" applyFont="1" applyFill="1" applyBorder="1" applyAlignment="1">
      <alignment wrapText="1"/>
    </xf>
    <xf numFmtId="166" fontId="8" fillId="2" borderId="0" xfId="0" applyNumberFormat="1" applyFont="1" applyFill="1" applyAlignment="1">
      <alignment horizontal="left"/>
    </xf>
    <xf numFmtId="0" fontId="8" fillId="2" borderId="0" xfId="0" applyFont="1" applyFill="1" applyAlignment="1"/>
    <xf numFmtId="0" fontId="8" fillId="2" borderId="0" xfId="0" applyFont="1" applyFill="1" applyAlignment="1">
      <alignment horizontal="center"/>
    </xf>
    <xf numFmtId="0" fontId="8" fillId="2" borderId="2" xfId="0" applyFont="1" applyFill="1" applyBorder="1" applyAlignment="1">
      <alignment horizontal="center" wrapText="1"/>
    </xf>
    <xf numFmtId="0" fontId="8" fillId="0" borderId="0" xfId="0" applyFont="1" applyFill="1" applyAlignment="1">
      <alignment wrapText="1"/>
    </xf>
    <xf numFmtId="167" fontId="8" fillId="2" borderId="0" xfId="0" applyNumberFormat="1" applyFont="1" applyFill="1" applyAlignment="1">
      <alignment horizontal="left"/>
    </xf>
    <xf numFmtId="11" fontId="8" fillId="2" borderId="0" xfId="0" applyNumberFormat="1" applyFont="1" applyFill="1" applyAlignment="1">
      <alignment horizontal="left"/>
    </xf>
    <xf numFmtId="2" fontId="8" fillId="0" borderId="0" xfId="0" applyNumberFormat="1" applyFont="1" applyFill="1" applyAlignment="1"/>
    <xf numFmtId="2" fontId="8" fillId="2" borderId="0" xfId="0" applyNumberFormat="1" applyFont="1" applyFill="1" applyAlignment="1"/>
    <xf numFmtId="166" fontId="8" fillId="2" borderId="0" xfId="0" applyNumberFormat="1" applyFont="1" applyFill="1" applyAlignment="1"/>
    <xf numFmtId="2" fontId="8" fillId="0" borderId="2" xfId="0" applyNumberFormat="1" applyFont="1" applyFill="1" applyBorder="1" applyAlignment="1">
      <alignment horizontal="left"/>
    </xf>
    <xf numFmtId="2" fontId="8" fillId="0" borderId="0" xfId="0" applyNumberFormat="1" applyFont="1" applyFill="1" applyAlignment="1">
      <alignment horizontal="left"/>
    </xf>
    <xf numFmtId="0" fontId="8" fillId="0" borderId="0" xfId="0" applyFont="1" applyFill="1" applyAlignment="1">
      <alignment horizontal="center"/>
    </xf>
    <xf numFmtId="0" fontId="22" fillId="0" borderId="0" xfId="0" applyFont="1" applyFill="1" applyBorder="1" applyAlignment="1">
      <alignment horizontal="center" vertical="center" wrapText="1"/>
    </xf>
    <xf numFmtId="0" fontId="0" fillId="0" borderId="0" xfId="0" applyFill="1" applyBorder="1" applyAlignment="1">
      <alignment horizontal="left" vertical="center"/>
    </xf>
    <xf numFmtId="0" fontId="22" fillId="0" borderId="3" xfId="0" applyFont="1" applyFill="1" applyBorder="1" applyAlignment="1">
      <alignment horizontal="center" vertical="center" wrapText="1"/>
    </xf>
    <xf numFmtId="0" fontId="0" fillId="0" borderId="3" xfId="0" applyFill="1" applyBorder="1" applyAlignment="1">
      <alignment horizontal="left" vertical="center"/>
    </xf>
    <xf numFmtId="0" fontId="3" fillId="2" borderId="2" xfId="6" applyFont="1" applyFill="1" applyBorder="1" applyAlignment="1">
      <alignment horizontal="center"/>
    </xf>
    <xf numFmtId="1" fontId="3" fillId="2" borderId="0" xfId="6" applyNumberFormat="1" applyFont="1" applyFill="1" applyBorder="1" applyAlignment="1">
      <alignment horizontal="center" wrapText="1"/>
    </xf>
    <xf numFmtId="2" fontId="3" fillId="2" borderId="0" xfId="6" applyNumberFormat="1" applyFont="1" applyFill="1" applyBorder="1" applyAlignment="1">
      <alignment wrapText="1"/>
    </xf>
    <xf numFmtId="0" fontId="3" fillId="4" borderId="3" xfId="7" applyFont="1" applyFill="1" applyBorder="1" applyAlignment="1">
      <alignment horizontal="left"/>
    </xf>
    <xf numFmtId="0" fontId="3" fillId="2" borderId="0" xfId="7" applyFont="1" applyFill="1" applyBorder="1" applyAlignment="1">
      <alignment wrapText="1"/>
    </xf>
    <xf numFmtId="0" fontId="3" fillId="2" borderId="3" xfId="7" applyFont="1" applyFill="1" applyBorder="1" applyAlignment="1">
      <alignment wrapText="1"/>
    </xf>
    <xf numFmtId="0" fontId="6" fillId="2" borderId="3" xfId="0" applyFont="1" applyFill="1" applyBorder="1"/>
    <xf numFmtId="0" fontId="4" fillId="2" borderId="0" xfId="7" applyFont="1" applyFill="1" applyBorder="1" applyAlignment="1">
      <alignment wrapText="1"/>
    </xf>
    <xf numFmtId="0" fontId="4" fillId="2" borderId="3" xfId="7" applyFont="1" applyFill="1" applyBorder="1" applyAlignment="1">
      <alignment wrapText="1"/>
    </xf>
    <xf numFmtId="0" fontId="0" fillId="2" borderId="3" xfId="0" applyFill="1" applyBorder="1" applyAlignment="1">
      <alignment horizontal="left" wrapText="1"/>
    </xf>
    <xf numFmtId="0" fontId="0" fillId="2" borderId="0" xfId="0" applyFill="1" applyAlignment="1">
      <alignment vertical="top" wrapText="1"/>
    </xf>
    <xf numFmtId="0" fontId="0" fillId="2" borderId="3" xfId="0" applyFill="1" applyBorder="1" applyAlignment="1">
      <alignment vertical="top"/>
    </xf>
    <xf numFmtId="0" fontId="0" fillId="2" borderId="3" xfId="0" applyFill="1" applyBorder="1" applyAlignment="1">
      <alignment horizontal="left" vertical="top" wrapText="1"/>
    </xf>
    <xf numFmtId="0" fontId="0" fillId="2" borderId="3" xfId="0" applyFill="1" applyBorder="1" applyAlignment="1">
      <alignment horizontal="left" vertical="top"/>
    </xf>
    <xf numFmtId="0" fontId="0" fillId="2" borderId="3" xfId="0" applyFill="1" applyBorder="1" applyAlignment="1">
      <alignment horizontal="center" vertical="center"/>
    </xf>
    <xf numFmtId="2" fontId="0" fillId="2" borderId="3" xfId="0" applyNumberFormat="1" applyFill="1" applyBorder="1" applyAlignment="1">
      <alignment horizontal="left" vertical="center"/>
    </xf>
    <xf numFmtId="0" fontId="22" fillId="2" borderId="3" xfId="0" applyFont="1" applyFill="1" applyBorder="1" applyAlignment="1">
      <alignment horizontal="left" vertical="top"/>
    </xf>
    <xf numFmtId="0" fontId="21" fillId="2" borderId="3" xfId="0" applyFont="1" applyFill="1" applyBorder="1" applyAlignment="1">
      <alignment vertical="top"/>
    </xf>
    <xf numFmtId="0" fontId="22" fillId="2" borderId="3" xfId="0" applyFont="1" applyFill="1" applyBorder="1" applyAlignment="1">
      <alignment vertical="top"/>
    </xf>
    <xf numFmtId="11" fontId="0" fillId="2" borderId="3" xfId="0" applyNumberFormat="1" applyFill="1" applyBorder="1" applyAlignment="1">
      <alignment horizontal="left" vertical="top"/>
    </xf>
    <xf numFmtId="0" fontId="0" fillId="2" borderId="3" xfId="0" applyFill="1" applyBorder="1" applyAlignment="1"/>
    <xf numFmtId="0" fontId="3" fillId="2" borderId="3" xfId="1" applyFont="1" applyFill="1" applyBorder="1" applyAlignment="1">
      <alignment horizontal="left"/>
    </xf>
    <xf numFmtId="0" fontId="1" fillId="2" borderId="3" xfId="1" applyFont="1" applyFill="1" applyBorder="1" applyAlignment="1">
      <alignment horizontal="center"/>
    </xf>
    <xf numFmtId="0" fontId="1" fillId="2" borderId="3" xfId="1" applyFont="1" applyFill="1" applyBorder="1" applyAlignment="1">
      <alignment wrapText="1"/>
    </xf>
    <xf numFmtId="11" fontId="1" fillId="2" borderId="3" xfId="1" applyNumberFormat="1" applyFont="1" applyFill="1" applyBorder="1" applyAlignment="1">
      <alignment horizontal="center" wrapText="1"/>
    </xf>
    <xf numFmtId="0" fontId="3" fillId="2" borderId="2" xfId="6" applyFont="1" applyFill="1" applyBorder="1" applyAlignment="1">
      <alignment horizontal="left"/>
    </xf>
    <xf numFmtId="11" fontId="3" fillId="2" borderId="0" xfId="6" applyNumberFormat="1" applyFont="1" applyFill="1" applyBorder="1" applyAlignment="1">
      <alignment horizontal="center" wrapText="1"/>
    </xf>
    <xf numFmtId="1" fontId="3" fillId="2" borderId="3" xfId="6" applyNumberFormat="1" applyFont="1" applyFill="1" applyBorder="1" applyAlignment="1">
      <alignment horizontal="center" wrapText="1"/>
    </xf>
    <xf numFmtId="2" fontId="3" fillId="2" borderId="3" xfId="6" applyNumberFormat="1" applyFont="1" applyFill="1" applyBorder="1" applyAlignment="1">
      <alignment wrapText="1"/>
    </xf>
    <xf numFmtId="11" fontId="3" fillId="2" borderId="3" xfId="6" applyNumberFormat="1" applyFont="1" applyFill="1" applyBorder="1" applyAlignment="1">
      <alignment horizontal="center" wrapText="1"/>
    </xf>
    <xf numFmtId="0" fontId="25" fillId="2" borderId="0" xfId="0" applyFont="1" applyFill="1" applyAlignment="1">
      <alignment vertical="top"/>
    </xf>
    <xf numFmtId="11" fontId="0" fillId="2" borderId="0" xfId="0" applyNumberFormat="1" applyFill="1" applyAlignment="1">
      <alignment horizontal="left" vertical="top"/>
    </xf>
    <xf numFmtId="0" fontId="0" fillId="2" borderId="0" xfId="0" applyFill="1" applyBorder="1" applyAlignment="1">
      <alignment horizontal="left" vertical="top" wrapText="1"/>
    </xf>
    <xf numFmtId="0" fontId="22" fillId="2" borderId="0" xfId="0" applyFont="1" applyFill="1" applyBorder="1" applyAlignment="1">
      <alignment horizontal="center" vertical="top" wrapText="1"/>
    </xf>
    <xf numFmtId="2" fontId="10" fillId="2" borderId="0" xfId="0" applyNumberFormat="1" applyFont="1" applyFill="1" applyBorder="1" applyAlignment="1">
      <alignment horizontal="left" vertical="top"/>
    </xf>
    <xf numFmtId="2" fontId="10" fillId="2" borderId="0" xfId="0" applyNumberFormat="1" applyFont="1" applyFill="1" applyBorder="1" applyAlignment="1">
      <alignment horizontal="left" vertical="top" wrapText="1"/>
    </xf>
    <xf numFmtId="2" fontId="20" fillId="2" borderId="0" xfId="0" applyNumberFormat="1" applyFont="1" applyFill="1" applyBorder="1" applyAlignment="1">
      <alignment horizontal="left" vertical="top"/>
    </xf>
    <xf numFmtId="0" fontId="22" fillId="2" borderId="3" xfId="0" applyFont="1" applyFill="1" applyBorder="1" applyAlignment="1">
      <alignment horizontal="center" vertical="top" wrapText="1"/>
    </xf>
    <xf numFmtId="2" fontId="10" fillId="2" borderId="3" xfId="0" applyNumberFormat="1" applyFont="1" applyFill="1" applyBorder="1" applyAlignment="1">
      <alignment horizontal="left" vertical="top"/>
    </xf>
    <xf numFmtId="2" fontId="10" fillId="2" borderId="3" xfId="0" applyNumberFormat="1" applyFont="1" applyFill="1" applyBorder="1" applyAlignment="1">
      <alignment horizontal="left" vertical="top" wrapText="1"/>
    </xf>
    <xf numFmtId="2" fontId="20" fillId="2" borderId="3" xfId="0" applyNumberFormat="1" applyFont="1" applyFill="1" applyBorder="1" applyAlignment="1">
      <alignment horizontal="left" vertical="top"/>
    </xf>
    <xf numFmtId="2" fontId="6" fillId="2" borderId="0" xfId="0" applyNumberFormat="1" applyFont="1" applyFill="1" applyBorder="1" applyAlignment="1">
      <alignment horizontal="left"/>
    </xf>
    <xf numFmtId="2" fontId="6" fillId="2" borderId="3" xfId="0" applyNumberFormat="1" applyFont="1" applyFill="1" applyBorder="1" applyAlignment="1">
      <alignment horizontal="left" vertical="center"/>
    </xf>
    <xf numFmtId="2" fontId="6" fillId="0" borderId="3" xfId="0" applyNumberFormat="1" applyFont="1" applyFill="1" applyBorder="1" applyAlignment="1">
      <alignment horizontal="left" vertical="center"/>
    </xf>
    <xf numFmtId="2" fontId="20" fillId="2" borderId="0" xfId="0" applyNumberFormat="1" applyFont="1" applyFill="1" applyAlignment="1">
      <alignment horizontal="left" vertical="top"/>
    </xf>
    <xf numFmtId="0" fontId="6" fillId="2" borderId="0" xfId="0" applyFont="1" applyFill="1" applyBorder="1" applyAlignment="1">
      <alignment horizontal="left" vertical="top"/>
    </xf>
    <xf numFmtId="0" fontId="0" fillId="2" borderId="0" xfId="0" applyFont="1" applyFill="1" applyAlignment="1">
      <alignment vertical="top" wrapText="1"/>
    </xf>
    <xf numFmtId="0" fontId="33" fillId="2" borderId="0" xfId="0" applyFont="1" applyFill="1" applyAlignment="1">
      <alignment vertical="top" wrapText="1"/>
    </xf>
    <xf numFmtId="0" fontId="0" fillId="2" borderId="3" xfId="0" applyFont="1" applyFill="1" applyBorder="1"/>
    <xf numFmtId="0" fontId="0" fillId="2" borderId="3" xfId="0" applyFont="1" applyFill="1" applyBorder="1" applyAlignment="1">
      <alignment vertical="top" wrapText="1"/>
    </xf>
    <xf numFmtId="0" fontId="0" fillId="0" borderId="3" xfId="0" applyFont="1" applyBorder="1"/>
    <xf numFmtId="0" fontId="0" fillId="2" borderId="0" xfId="0" applyFont="1" applyFill="1" applyBorder="1" applyAlignment="1">
      <alignment horizontal="left"/>
    </xf>
    <xf numFmtId="0" fontId="0" fillId="2" borderId="0" xfId="0" applyFont="1" applyFill="1" applyBorder="1" applyAlignment="1">
      <alignment horizontal="left" vertical="top"/>
    </xf>
    <xf numFmtId="0" fontId="0" fillId="2" borderId="0" xfId="0" applyFont="1" applyFill="1" applyBorder="1" applyAlignment="1">
      <alignment horizontal="left" wrapText="1"/>
    </xf>
    <xf numFmtId="0" fontId="0" fillId="2" borderId="3" xfId="0" applyFont="1" applyFill="1" applyBorder="1" applyAlignment="1">
      <alignment horizontal="left" vertical="center"/>
    </xf>
    <xf numFmtId="0" fontId="0" fillId="2" borderId="3" xfId="0" applyFont="1" applyFill="1" applyBorder="1" applyAlignment="1">
      <alignment horizontal="left" vertical="top"/>
    </xf>
    <xf numFmtId="0" fontId="0" fillId="2" borderId="3" xfId="0" applyFont="1" applyFill="1" applyBorder="1" applyAlignment="1">
      <alignment horizontal="left" vertical="center" wrapText="1"/>
    </xf>
    <xf numFmtId="2" fontId="0" fillId="3" borderId="0" xfId="0" applyNumberFormat="1" applyFont="1" applyFill="1" applyAlignment="1">
      <alignment horizontal="left" vertical="top"/>
    </xf>
    <xf numFmtId="2" fontId="0" fillId="2" borderId="0" xfId="0" applyNumberFormat="1" applyFont="1" applyFill="1" applyBorder="1" applyAlignment="1">
      <alignment horizontal="left" vertical="top" wrapText="1"/>
    </xf>
    <xf numFmtId="0" fontId="8" fillId="2" borderId="0" xfId="0" applyFont="1" applyFill="1" applyAlignment="1">
      <alignment vertical="top" wrapText="1"/>
    </xf>
    <xf numFmtId="2" fontId="0" fillId="2" borderId="0" xfId="0" applyNumberFormat="1" applyFont="1" applyFill="1" applyBorder="1" applyAlignment="1">
      <alignment horizontal="left" vertical="top"/>
    </xf>
    <xf numFmtId="11" fontId="0" fillId="2" borderId="0" xfId="0" applyNumberFormat="1" applyFont="1" applyFill="1" applyBorder="1" applyAlignment="1">
      <alignment horizontal="left" vertical="top" wrapText="1"/>
    </xf>
    <xf numFmtId="2" fontId="0" fillId="2" borderId="0" xfId="0" applyNumberFormat="1" applyFont="1" applyFill="1" applyAlignment="1">
      <alignment horizontal="left" vertical="top"/>
    </xf>
    <xf numFmtId="2" fontId="0" fillId="2" borderId="3" xfId="0" applyNumberFormat="1" applyFont="1" applyFill="1" applyBorder="1" applyAlignment="1">
      <alignment horizontal="left" vertical="top" wrapText="1"/>
    </xf>
    <xf numFmtId="0" fontId="0" fillId="0" borderId="0" xfId="0" applyFont="1" applyAlignment="1">
      <alignment vertical="top"/>
    </xf>
    <xf numFmtId="0" fontId="0" fillId="0" borderId="0" xfId="0" applyFont="1" applyFill="1"/>
    <xf numFmtId="2" fontId="0" fillId="0" borderId="0" xfId="0" applyNumberFormat="1" applyFont="1"/>
    <xf numFmtId="0" fontId="8" fillId="0" borderId="0" xfId="0" applyFont="1" applyAlignment="1">
      <alignment vertical="top" wrapText="1"/>
    </xf>
    <xf numFmtId="0" fontId="0" fillId="2" borderId="6" xfId="0" applyFill="1" applyBorder="1" applyAlignment="1">
      <alignment horizontal="left" vertical="center"/>
    </xf>
    <xf numFmtId="0" fontId="0" fillId="2" borderId="3" xfId="0" applyFill="1" applyBorder="1" applyAlignment="1">
      <alignment horizontal="left" vertical="center" wrapText="1"/>
    </xf>
    <xf numFmtId="0" fontId="0" fillId="0" borderId="0" xfId="0" applyFill="1" applyBorder="1" applyAlignment="1">
      <alignment horizontal="left" vertical="center" wrapText="1"/>
    </xf>
    <xf numFmtId="2" fontId="0" fillId="2" borderId="0" xfId="0" applyNumberFormat="1" applyFill="1" applyAlignment="1">
      <alignment horizontal="left" vertical="center"/>
    </xf>
    <xf numFmtId="2" fontId="0" fillId="2" borderId="0" xfId="0" applyNumberFormat="1" applyFill="1" applyAlignment="1">
      <alignment horizontal="left" vertical="center" wrapText="1"/>
    </xf>
    <xf numFmtId="2" fontId="0" fillId="2" borderId="3" xfId="0" applyNumberFormat="1" applyFill="1" applyBorder="1" applyAlignment="1">
      <alignment horizontal="left" vertical="center" wrapText="1"/>
    </xf>
    <xf numFmtId="0" fontId="3" fillId="0" borderId="7" xfId="8" applyFont="1" applyFill="1" applyBorder="1" applyAlignment="1">
      <alignment wrapText="1"/>
    </xf>
    <xf numFmtId="0" fontId="3" fillId="2" borderId="0" xfId="8" applyFont="1" applyFill="1" applyBorder="1" applyAlignment="1">
      <alignment wrapText="1"/>
    </xf>
    <xf numFmtId="2" fontId="3" fillId="2" borderId="0" xfId="8" applyNumberFormat="1" applyFont="1" applyFill="1" applyBorder="1" applyAlignment="1">
      <alignment horizontal="right" wrapText="1"/>
    </xf>
    <xf numFmtId="0" fontId="4" fillId="2" borderId="0" xfId="8" applyFont="1" applyFill="1" applyBorder="1" applyAlignment="1">
      <alignment wrapText="1"/>
    </xf>
    <xf numFmtId="0" fontId="3" fillId="2" borderId="3" xfId="8" applyFont="1" applyFill="1" applyBorder="1" applyAlignment="1">
      <alignment wrapText="1"/>
    </xf>
    <xf numFmtId="2" fontId="3" fillId="2" borderId="3" xfId="8" applyNumberFormat="1" applyFont="1" applyFill="1" applyBorder="1" applyAlignment="1">
      <alignment horizontal="right" wrapText="1"/>
    </xf>
    <xf numFmtId="0" fontId="3" fillId="2" borderId="6" xfId="8" applyFont="1" applyFill="1" applyBorder="1" applyAlignment="1">
      <alignment horizontal="left"/>
    </xf>
    <xf numFmtId="1" fontId="3" fillId="2" borderId="0" xfId="8" applyNumberFormat="1" applyFont="1" applyFill="1" applyBorder="1" applyAlignment="1">
      <alignment horizontal="left" wrapText="1"/>
    </xf>
    <xf numFmtId="1" fontId="3" fillId="2" borderId="3" xfId="8" applyNumberFormat="1" applyFont="1" applyFill="1" applyBorder="1" applyAlignment="1">
      <alignment horizontal="left" wrapText="1"/>
    </xf>
    <xf numFmtId="0" fontId="3" fillId="2" borderId="6" xfId="8" applyFont="1" applyFill="1" applyBorder="1" applyAlignment="1">
      <alignment horizontal="right"/>
    </xf>
    <xf numFmtId="0" fontId="3" fillId="0" borderId="7" xfId="9" applyFont="1" applyFill="1" applyBorder="1" applyAlignment="1"/>
    <xf numFmtId="0" fontId="0" fillId="0" borderId="0" xfId="0" applyFill="1" applyBorder="1" applyAlignment="1">
      <alignment horizontal="left"/>
    </xf>
    <xf numFmtId="0" fontId="4" fillId="0" borderId="0" xfId="9" applyFont="1" applyFill="1" applyBorder="1" applyAlignment="1"/>
    <xf numFmtId="0" fontId="3" fillId="0" borderId="0" xfId="9" applyFont="1" applyFill="1" applyBorder="1" applyAlignment="1"/>
    <xf numFmtId="0" fontId="3" fillId="0" borderId="0" xfId="9" applyFont="1" applyFill="1" applyBorder="1" applyAlignment="1">
      <alignment horizontal="right"/>
    </xf>
    <xf numFmtId="0" fontId="0" fillId="0" borderId="0" xfId="0" applyFill="1" applyBorder="1" applyAlignment="1"/>
    <xf numFmtId="0" fontId="32" fillId="0" borderId="0" xfId="9" applyFill="1" applyBorder="1" applyAlignment="1"/>
    <xf numFmtId="0" fontId="6" fillId="0" borderId="0" xfId="0" applyFont="1" applyFill="1" applyBorder="1" applyAlignment="1"/>
    <xf numFmtId="0" fontId="0" fillId="0" borderId="0" xfId="0" applyFont="1" applyFill="1" applyBorder="1" applyAlignment="1">
      <alignment horizontal="left"/>
    </xf>
    <xf numFmtId="0" fontId="20" fillId="0" borderId="0" xfId="0" applyFont="1" applyFill="1" applyBorder="1" applyAlignment="1"/>
    <xf numFmtId="165" fontId="3" fillId="0" borderId="0" xfId="9" applyNumberFormat="1" applyFont="1" applyFill="1" applyBorder="1" applyAlignment="1">
      <alignment horizontal="left"/>
    </xf>
    <xf numFmtId="165" fontId="0" fillId="0" borderId="0" xfId="0" applyNumberFormat="1" applyFill="1" applyBorder="1" applyAlignment="1">
      <alignment horizontal="left"/>
    </xf>
    <xf numFmtId="165" fontId="32" fillId="0" borderId="0" xfId="9" applyNumberFormat="1" applyFill="1" applyBorder="1" applyAlignment="1">
      <alignment horizontal="left"/>
    </xf>
    <xf numFmtId="165" fontId="3" fillId="2" borderId="0" xfId="9" applyNumberFormat="1" applyFont="1" applyFill="1" applyBorder="1" applyAlignment="1">
      <alignment horizontal="left"/>
    </xf>
    <xf numFmtId="0" fontId="3" fillId="2" borderId="0" xfId="9" applyFont="1" applyFill="1" applyBorder="1" applyAlignment="1"/>
    <xf numFmtId="0" fontId="0" fillId="2" borderId="0" xfId="0" applyFill="1" applyBorder="1" applyAlignment="1"/>
    <xf numFmtId="0" fontId="4" fillId="2" borderId="0" xfId="9" applyFont="1" applyFill="1" applyBorder="1" applyAlignment="1"/>
    <xf numFmtId="0" fontId="27" fillId="2" borderId="0" xfId="5" applyFill="1" applyBorder="1" applyAlignment="1"/>
    <xf numFmtId="0" fontId="3" fillId="2" borderId="0" xfId="9" applyFont="1" applyFill="1" applyBorder="1" applyAlignment="1">
      <alignment wrapText="1"/>
    </xf>
    <xf numFmtId="0" fontId="4" fillId="2" borderId="3" xfId="9" applyFont="1" applyFill="1" applyBorder="1" applyAlignment="1"/>
    <xf numFmtId="0" fontId="3" fillId="2" borderId="3" xfId="9" applyFont="1" applyFill="1" applyBorder="1" applyAlignment="1"/>
    <xf numFmtId="165" fontId="3" fillId="2" borderId="3" xfId="9" applyNumberFormat="1" applyFont="1" applyFill="1" applyBorder="1" applyAlignment="1">
      <alignment horizontal="left"/>
    </xf>
    <xf numFmtId="0" fontId="3" fillId="2" borderId="3" xfId="9" applyFont="1" applyFill="1" applyBorder="1" applyAlignment="1">
      <alignment horizontal="left"/>
    </xf>
    <xf numFmtId="165" fontId="37" fillId="2" borderId="0" xfId="9" applyNumberFormat="1" applyFont="1" applyFill="1" applyBorder="1" applyAlignment="1">
      <alignment horizontal="left"/>
    </xf>
    <xf numFmtId="166" fontId="0" fillId="2" borderId="0" xfId="0" applyNumberFormat="1" applyFill="1" applyAlignment="1">
      <alignment horizontal="left"/>
    </xf>
    <xf numFmtId="0" fontId="6" fillId="2" borderId="4" xfId="0" applyFont="1" applyFill="1" applyBorder="1" applyAlignment="1">
      <alignment vertical="center"/>
    </xf>
    <xf numFmtId="0" fontId="0" fillId="2" borderId="4" xfId="0" applyFill="1" applyBorder="1"/>
    <xf numFmtId="166" fontId="0" fillId="2" borderId="3" xfId="0" applyNumberFormat="1" applyFill="1" applyBorder="1" applyAlignment="1">
      <alignment horizontal="left"/>
    </xf>
    <xf numFmtId="0" fontId="0" fillId="2" borderId="0" xfId="0" applyFont="1" applyFill="1" applyBorder="1" applyAlignment="1">
      <alignment horizontal="left" vertical="top" wrapText="1"/>
    </xf>
    <xf numFmtId="0" fontId="0" fillId="0" borderId="3" xfId="0" applyFont="1" applyBorder="1" applyAlignment="1">
      <alignment vertical="top" wrapText="1"/>
    </xf>
    <xf numFmtId="0" fontId="0" fillId="0" borderId="3" xfId="0" applyFont="1" applyBorder="1" applyAlignment="1">
      <alignment vertical="top"/>
    </xf>
    <xf numFmtId="0" fontId="0" fillId="2" borderId="3" xfId="0" applyFont="1" applyFill="1" applyBorder="1" applyAlignment="1">
      <alignment vertical="top"/>
    </xf>
    <xf numFmtId="0" fontId="8" fillId="2" borderId="0" xfId="0" applyFont="1" applyFill="1" applyBorder="1" applyAlignment="1">
      <alignment horizontal="left" vertical="top" wrapText="1"/>
    </xf>
    <xf numFmtId="0" fontId="20" fillId="0" borderId="0" xfId="0" applyFont="1" applyAlignment="1">
      <alignment vertical="top"/>
    </xf>
    <xf numFmtId="0" fontId="0" fillId="2" borderId="3" xfId="0" applyFill="1" applyBorder="1" applyAlignment="1">
      <alignment horizontal="right" vertical="center" wrapText="1"/>
    </xf>
    <xf numFmtId="0" fontId="6" fillId="2" borderId="0" xfId="0" applyFont="1" applyFill="1" applyAlignment="1">
      <alignment horizontal="left" vertical="top" wrapText="1"/>
    </xf>
    <xf numFmtId="0" fontId="0" fillId="2" borderId="0" xfId="0" applyFill="1" applyAlignment="1">
      <alignment horizontal="right" vertical="top" wrapText="1"/>
    </xf>
    <xf numFmtId="0" fontId="0" fillId="2" borderId="0" xfId="0" applyFill="1" applyAlignment="1">
      <alignment horizontal="left" vertical="top" wrapText="1"/>
    </xf>
    <xf numFmtId="164" fontId="0" fillId="2" borderId="0" xfId="0" applyNumberFormat="1" applyFill="1" applyAlignment="1">
      <alignment horizontal="right" vertical="top" wrapText="1"/>
    </xf>
    <xf numFmtId="0" fontId="27" fillId="2" borderId="0" xfId="5" applyFill="1" applyAlignment="1">
      <alignment horizontal="left" vertical="top" wrapText="1"/>
    </xf>
    <xf numFmtId="0" fontId="26" fillId="2" borderId="0" xfId="0" applyFont="1" applyFill="1" applyAlignment="1">
      <alignment horizontal="left" vertical="top" wrapText="1"/>
    </xf>
    <xf numFmtId="0" fontId="29" fillId="2" borderId="0" xfId="0" applyFont="1" applyFill="1" applyAlignment="1">
      <alignment horizontal="left" vertical="top" wrapText="1"/>
    </xf>
    <xf numFmtId="164" fontId="0" fillId="0" borderId="0" xfId="0" applyNumberFormat="1" applyAlignment="1">
      <alignment horizontal="right" vertical="top"/>
    </xf>
    <xf numFmtId="0" fontId="6" fillId="2" borderId="3" xfId="0" applyFont="1" applyFill="1" applyBorder="1" applyAlignment="1">
      <alignment horizontal="left" vertical="top" wrapText="1"/>
    </xf>
    <xf numFmtId="0" fontId="0" fillId="2" borderId="3" xfId="0" applyFill="1" applyBorder="1" applyAlignment="1">
      <alignment horizontal="right" vertical="top" wrapText="1"/>
    </xf>
    <xf numFmtId="11" fontId="10" fillId="2" borderId="0" xfId="0" applyNumberFormat="1" applyFont="1" applyFill="1" applyAlignment="1">
      <alignment horizontal="left" vertical="top"/>
    </xf>
    <xf numFmtId="0" fontId="6" fillId="2" borderId="0" xfId="0" applyFont="1" applyFill="1" applyAlignment="1">
      <alignment horizontal="left" vertical="top"/>
    </xf>
    <xf numFmtId="0" fontId="10" fillId="2" borderId="0" xfId="0" applyFont="1" applyFill="1" applyAlignment="1">
      <alignment horizontal="left" vertical="top"/>
    </xf>
    <xf numFmtId="0" fontId="6" fillId="2" borderId="0" xfId="0" applyFont="1" applyFill="1" applyAlignment="1">
      <alignment vertical="top"/>
    </xf>
    <xf numFmtId="11" fontId="0" fillId="2" borderId="0" xfId="0" applyNumberFormat="1" applyFont="1" applyFill="1" applyAlignment="1">
      <alignment horizontal="left" vertical="top"/>
    </xf>
    <xf numFmtId="0" fontId="8" fillId="2" borderId="0" xfId="3" applyNumberFormat="1" applyFont="1" applyFill="1" applyBorder="1" applyAlignment="1" applyProtection="1">
      <alignment horizontal="left" vertical="top" wrapText="1"/>
    </xf>
    <xf numFmtId="0" fontId="0" fillId="2" borderId="0" xfId="0" applyFill="1" applyBorder="1" applyAlignment="1">
      <alignment vertical="top" wrapText="1"/>
    </xf>
    <xf numFmtId="0" fontId="0" fillId="2" borderId="0" xfId="0" applyFill="1" applyBorder="1" applyAlignment="1">
      <alignment horizontal="left" vertical="top"/>
    </xf>
    <xf numFmtId="0" fontId="8" fillId="2" borderId="0" xfId="0" applyFont="1" applyFill="1" applyBorder="1" applyAlignment="1">
      <alignment vertical="top" wrapText="1"/>
    </xf>
    <xf numFmtId="0" fontId="8" fillId="2" borderId="0" xfId="3" applyNumberFormat="1" applyFont="1" applyFill="1" applyBorder="1" applyAlignment="1" applyProtection="1">
      <alignment horizontal="left" vertical="top"/>
    </xf>
    <xf numFmtId="11" fontId="0" fillId="2" borderId="0" xfId="0" applyNumberFormat="1" applyFill="1" applyAlignment="1">
      <alignment horizontal="center" vertical="top"/>
    </xf>
    <xf numFmtId="0" fontId="12" fillId="2" borderId="0" xfId="3" applyNumberFormat="1" applyFont="1" applyFill="1" applyBorder="1" applyAlignment="1" applyProtection="1">
      <alignment horizontal="left" vertical="top" wrapText="1"/>
    </xf>
    <xf numFmtId="11" fontId="0" fillId="2" borderId="0" xfId="0" applyNumberFormat="1" applyFont="1" applyFill="1" applyAlignment="1">
      <alignment horizontal="left" vertical="top" wrapText="1"/>
    </xf>
    <xf numFmtId="165" fontId="6" fillId="2" borderId="0" xfId="2" applyNumberFormat="1" applyFont="1" applyFill="1" applyAlignment="1">
      <alignment horizontal="left" vertical="top"/>
    </xf>
    <xf numFmtId="0" fontId="0" fillId="2" borderId="0" xfId="0" applyFill="1" applyBorder="1" applyAlignment="1">
      <alignment vertical="top"/>
    </xf>
    <xf numFmtId="11" fontId="0" fillId="2" borderId="0" xfId="0" applyNumberFormat="1" applyFill="1" applyBorder="1" applyAlignment="1">
      <alignment horizontal="left" vertical="top"/>
    </xf>
    <xf numFmtId="0" fontId="6" fillId="2" borderId="3" xfId="0" applyFont="1" applyFill="1" applyBorder="1" applyAlignment="1">
      <alignment horizontal="left" vertical="top"/>
    </xf>
    <xf numFmtId="11" fontId="10" fillId="2" borderId="3" xfId="0" applyNumberFormat="1" applyFont="1" applyFill="1" applyBorder="1" applyAlignment="1">
      <alignment horizontal="left" vertical="top"/>
    </xf>
    <xf numFmtId="0" fontId="8" fillId="2" borderId="3" xfId="0" applyFont="1" applyFill="1" applyBorder="1" applyAlignment="1"/>
    <xf numFmtId="2" fontId="0" fillId="2" borderId="3" xfId="0" applyNumberFormat="1" applyFont="1" applyFill="1" applyBorder="1" applyAlignment="1">
      <alignment horizontal="left" vertical="top"/>
    </xf>
    <xf numFmtId="0" fontId="6" fillId="2" borderId="3" xfId="0" applyFont="1" applyFill="1" applyBorder="1" applyAlignment="1">
      <alignment vertical="center"/>
    </xf>
    <xf numFmtId="0" fontId="0" fillId="2" borderId="0" xfId="0" applyFill="1" applyAlignment="1">
      <alignment horizontal="left"/>
    </xf>
    <xf numFmtId="0" fontId="0" fillId="2" borderId="0" xfId="0" applyFill="1" applyAlignment="1">
      <alignment horizontal="left" vertical="top" wrapText="1"/>
    </xf>
    <xf numFmtId="0" fontId="6" fillId="2" borderId="0" xfId="0" applyFont="1" applyFill="1" applyAlignment="1">
      <alignment horizontal="left" vertical="top" wrapText="1"/>
    </xf>
    <xf numFmtId="0" fontId="0" fillId="2" borderId="3" xfId="0" applyFont="1" applyFill="1" applyBorder="1" applyAlignment="1">
      <alignment horizontal="left" vertical="center" wrapText="1"/>
    </xf>
    <xf numFmtId="0" fontId="33" fillId="2" borderId="3" xfId="0" applyFont="1" applyFill="1" applyBorder="1" applyAlignment="1">
      <alignment vertical="top" wrapText="1"/>
    </xf>
    <xf numFmtId="0" fontId="8" fillId="2" borderId="0" xfId="0" applyFont="1" applyFill="1" applyAlignment="1">
      <alignment horizontal="left" vertical="top" wrapText="1"/>
    </xf>
    <xf numFmtId="0" fontId="8" fillId="2" borderId="0" xfId="0" applyFont="1" applyFill="1"/>
    <xf numFmtId="0" fontId="8" fillId="2" borderId="0" xfId="0" applyFont="1" applyFill="1" applyAlignment="1">
      <alignment vertical="top"/>
    </xf>
    <xf numFmtId="0" fontId="8" fillId="2" borderId="0" xfId="0" quotePrefix="1" applyFont="1" applyFill="1" applyAlignment="1">
      <alignment vertical="top" wrapText="1"/>
    </xf>
    <xf numFmtId="0" fontId="0" fillId="2" borderId="0" xfId="0" applyFill="1" applyAlignment="1">
      <alignment horizontal="right" vertical="center" wrapText="1"/>
    </xf>
    <xf numFmtId="0" fontId="0" fillId="2" borderId="4" xfId="0" applyFill="1" applyBorder="1" applyAlignment="1">
      <alignment horizontal="right" vertical="center" wrapText="1"/>
    </xf>
    <xf numFmtId="3" fontId="0" fillId="2" borderId="4" xfId="0" applyNumberFormat="1" applyFill="1" applyBorder="1" applyAlignment="1">
      <alignment horizontal="right" vertical="center" wrapText="1"/>
    </xf>
    <xf numFmtId="11" fontId="0" fillId="2" borderId="4" xfId="0" applyNumberFormat="1" applyFill="1" applyBorder="1" applyAlignment="1">
      <alignment horizontal="right" vertical="center"/>
    </xf>
    <xf numFmtId="3" fontId="0" fillId="2" borderId="0" xfId="0" applyNumberFormat="1" applyFill="1" applyAlignment="1">
      <alignment horizontal="right" vertical="center" wrapText="1"/>
    </xf>
    <xf numFmtId="11" fontId="0" fillId="2" borderId="0" xfId="0" applyNumberFormat="1" applyFill="1" applyAlignment="1">
      <alignment horizontal="right" vertical="center"/>
    </xf>
    <xf numFmtId="3" fontId="0" fillId="2" borderId="3" xfId="0" applyNumberFormat="1" applyFill="1" applyBorder="1" applyAlignment="1">
      <alignment horizontal="right" vertical="center" wrapText="1"/>
    </xf>
    <xf numFmtId="11" fontId="0" fillId="2" borderId="3" xfId="0" applyNumberFormat="1" applyFill="1" applyBorder="1" applyAlignment="1">
      <alignment horizontal="right" vertical="center"/>
    </xf>
    <xf numFmtId="165" fontId="0" fillId="2" borderId="0" xfId="0" applyNumberFormat="1" applyFill="1" applyBorder="1" applyAlignment="1">
      <alignment horizontal="left"/>
    </xf>
    <xf numFmtId="165" fontId="0" fillId="2" borderId="3" xfId="0" applyNumberFormat="1" applyFill="1" applyBorder="1" applyAlignment="1">
      <alignment horizontal="left"/>
    </xf>
    <xf numFmtId="0" fontId="3" fillId="2" borderId="0" xfId="9" applyFont="1" applyFill="1" applyBorder="1" applyAlignment="1">
      <alignment horizontal="left"/>
    </xf>
    <xf numFmtId="165" fontId="32" fillId="2" borderId="0" xfId="9" applyNumberFormat="1" applyFill="1" applyBorder="1" applyAlignment="1">
      <alignment horizontal="left"/>
    </xf>
    <xf numFmtId="165" fontId="38" fillId="2" borderId="0" xfId="9" applyNumberFormat="1" applyFont="1" applyFill="1" applyBorder="1" applyAlignment="1">
      <alignment horizontal="left"/>
    </xf>
    <xf numFmtId="165" fontId="37" fillId="2" borderId="3" xfId="9" applyNumberFormat="1" applyFont="1" applyFill="1" applyBorder="1" applyAlignment="1">
      <alignment horizontal="left"/>
    </xf>
    <xf numFmtId="0" fontId="0" fillId="2" borderId="0" xfId="0" applyFont="1" applyFill="1" applyAlignment="1">
      <alignment horizontal="left" wrapText="1"/>
    </xf>
    <xf numFmtId="0" fontId="10" fillId="2" borderId="0" xfId="0" applyFont="1" applyFill="1" applyAlignment="1">
      <alignment horizontal="left" vertical="top" wrapText="1"/>
    </xf>
    <xf numFmtId="164" fontId="0" fillId="2" borderId="0" xfId="0" applyNumberFormat="1" applyFill="1" applyAlignment="1">
      <alignment horizontal="left" vertical="top"/>
    </xf>
    <xf numFmtId="0" fontId="9" fillId="2" borderId="0" xfId="0" applyFont="1" applyFill="1" applyAlignment="1">
      <alignment horizontal="left" vertical="top"/>
    </xf>
    <xf numFmtId="0" fontId="0" fillId="2" borderId="0" xfId="0" applyFont="1" applyFill="1" applyAlignment="1">
      <alignment horizontal="left" vertical="top" wrapText="1"/>
    </xf>
    <xf numFmtId="11" fontId="10" fillId="2" borderId="0" xfId="0" applyNumberFormat="1" applyFont="1" applyFill="1" applyAlignment="1">
      <alignment horizontal="left" vertical="top" wrapText="1"/>
    </xf>
    <xf numFmtId="166" fontId="0" fillId="2" borderId="0" xfId="0" applyNumberFormat="1" applyFill="1" applyAlignment="1">
      <alignment horizontal="left" vertical="top"/>
    </xf>
    <xf numFmtId="11" fontId="0" fillId="2" borderId="0" xfId="0" applyNumberFormat="1" applyFill="1" applyAlignment="1">
      <alignment horizontal="left"/>
    </xf>
    <xf numFmtId="0" fontId="22" fillId="2" borderId="0" xfId="0" applyFont="1" applyFill="1" applyBorder="1"/>
    <xf numFmtId="0" fontId="22" fillId="2" borderId="0" xfId="0" applyFont="1" applyFill="1" applyBorder="1" applyAlignment="1">
      <alignment horizontal="left"/>
    </xf>
    <xf numFmtId="0" fontId="39" fillId="2" borderId="0" xfId="0" applyFont="1" applyFill="1" applyBorder="1"/>
    <xf numFmtId="0" fontId="0" fillId="2" borderId="0" xfId="0" applyFill="1" applyAlignment="1">
      <alignment horizontal="left" wrapText="1"/>
    </xf>
    <xf numFmtId="0" fontId="0" fillId="0" borderId="0" xfId="0" applyAlignment="1">
      <alignment wrapText="1"/>
    </xf>
    <xf numFmtId="1" fontId="0" fillId="2" borderId="0" xfId="0" applyNumberFormat="1" applyFill="1" applyAlignment="1">
      <alignment horizontal="left" vertical="top"/>
    </xf>
    <xf numFmtId="1" fontId="10" fillId="2" borderId="0" xfId="0" applyNumberFormat="1" applyFont="1" applyFill="1" applyAlignment="1">
      <alignment horizontal="left" vertical="top"/>
    </xf>
    <xf numFmtId="1" fontId="0" fillId="2" borderId="3" xfId="0" applyNumberFormat="1" applyFill="1" applyBorder="1" applyAlignment="1">
      <alignment horizontal="left" vertical="top"/>
    </xf>
    <xf numFmtId="3" fontId="0" fillId="2" borderId="0" xfId="0" applyNumberFormat="1" applyFill="1" applyAlignment="1">
      <alignment horizontal="left" vertical="top"/>
    </xf>
    <xf numFmtId="0" fontId="8" fillId="2" borderId="0" xfId="0" applyFont="1" applyFill="1" applyBorder="1" applyAlignment="1"/>
    <xf numFmtId="0" fontId="0" fillId="2" borderId="4" xfId="0" applyFill="1" applyBorder="1" applyAlignment="1">
      <alignment horizontal="center" vertical="center"/>
    </xf>
    <xf numFmtId="0" fontId="22" fillId="2" borderId="6" xfId="0" applyFont="1" applyFill="1" applyBorder="1" applyAlignment="1">
      <alignment horizontal="left" vertical="center" wrapText="1"/>
    </xf>
    <xf numFmtId="0" fontId="22" fillId="2" borderId="0" xfId="0" applyFont="1" applyFill="1" applyBorder="1" applyAlignment="1">
      <alignment horizontal="left" vertical="top" wrapText="1"/>
    </xf>
    <xf numFmtId="0" fontId="24" fillId="2" borderId="0" xfId="5" applyFont="1" applyFill="1" applyBorder="1" applyAlignment="1">
      <alignment vertical="top"/>
    </xf>
    <xf numFmtId="0" fontId="42" fillId="2" borderId="0" xfId="5" applyFont="1" applyFill="1" applyAlignment="1">
      <alignment vertical="top" wrapText="1"/>
    </xf>
    <xf numFmtId="168" fontId="22" fillId="2" borderId="0" xfId="0" applyNumberFormat="1" applyFont="1" applyFill="1" applyBorder="1" applyAlignment="1">
      <alignment horizontal="left" vertical="top" wrapText="1"/>
    </xf>
    <xf numFmtId="0" fontId="22" fillId="5" borderId="0" xfId="0" applyFont="1" applyFill="1" applyBorder="1" applyAlignment="1">
      <alignment horizontal="left" vertical="top" wrapText="1"/>
    </xf>
    <xf numFmtId="0" fontId="42" fillId="5" borderId="0" xfId="5" applyFont="1" applyFill="1" applyBorder="1" applyAlignment="1">
      <alignment vertical="top" wrapText="1"/>
    </xf>
    <xf numFmtId="168" fontId="22" fillId="5" borderId="0" xfId="0" applyNumberFormat="1" applyFont="1" applyFill="1" applyBorder="1" applyAlignment="1">
      <alignment horizontal="left" vertical="top" wrapText="1"/>
    </xf>
    <xf numFmtId="168" fontId="22" fillId="5" borderId="0" xfId="5" applyNumberFormat="1" applyFont="1" applyFill="1" applyBorder="1" applyAlignment="1">
      <alignment horizontal="left" vertical="top"/>
    </xf>
    <xf numFmtId="0" fontId="24" fillId="2" borderId="0" xfId="5" applyFont="1" applyFill="1" applyBorder="1" applyAlignment="1">
      <alignment vertical="top" wrapText="1"/>
    </xf>
    <xf numFmtId="168" fontId="22" fillId="2" borderId="0" xfId="5" applyNumberFormat="1" applyFont="1" applyFill="1" applyBorder="1" applyAlignment="1">
      <alignment horizontal="left" vertical="top"/>
    </xf>
    <xf numFmtId="0" fontId="22" fillId="5" borderId="0" xfId="5" applyFont="1" applyFill="1" applyBorder="1" applyAlignment="1">
      <alignment vertical="top" wrapText="1"/>
    </xf>
    <xf numFmtId="168" fontId="24" fillId="5" borderId="0" xfId="5" applyNumberFormat="1" applyFont="1" applyFill="1" applyBorder="1" applyAlignment="1">
      <alignment vertical="top"/>
    </xf>
    <xf numFmtId="0" fontId="42" fillId="5" borderId="0" xfId="5" applyFont="1" applyFill="1" applyAlignment="1">
      <alignment vertical="top" wrapText="1"/>
    </xf>
    <xf numFmtId="0" fontId="24" fillId="5" borderId="0" xfId="5" applyFont="1" applyFill="1" applyBorder="1" applyAlignment="1">
      <alignment vertical="top"/>
    </xf>
    <xf numFmtId="0" fontId="22" fillId="2" borderId="0" xfId="5" applyFont="1" applyFill="1" applyBorder="1" applyAlignment="1">
      <alignment vertical="top"/>
    </xf>
    <xf numFmtId="0" fontId="22" fillId="2" borderId="0" xfId="5" applyFont="1" applyFill="1" applyBorder="1" applyAlignment="1">
      <alignment horizontal="left" vertical="top" wrapText="1"/>
    </xf>
    <xf numFmtId="0" fontId="22" fillId="2" borderId="0" xfId="5" applyFont="1" applyFill="1" applyBorder="1" applyAlignment="1">
      <alignment vertical="top" wrapText="1"/>
    </xf>
    <xf numFmtId="0" fontId="22" fillId="5" borderId="0" xfId="5" applyFont="1" applyFill="1" applyAlignment="1">
      <alignment vertical="top" wrapText="1"/>
    </xf>
    <xf numFmtId="0" fontId="22" fillId="2" borderId="0" xfId="5" applyFont="1" applyFill="1" applyAlignment="1">
      <alignment vertical="top" wrapText="1"/>
    </xf>
    <xf numFmtId="168" fontId="24" fillId="2" borderId="0" xfId="5" applyNumberFormat="1" applyFont="1" applyFill="1" applyBorder="1" applyAlignment="1">
      <alignment vertical="top"/>
    </xf>
    <xf numFmtId="0" fontId="22" fillId="5" borderId="0" xfId="0" applyFont="1" applyFill="1" applyAlignment="1">
      <alignment horizontal="left" vertical="top" wrapText="1"/>
    </xf>
    <xf numFmtId="168" fontId="22" fillId="5" borderId="0" xfId="0" applyNumberFormat="1" applyFont="1" applyFill="1" applyAlignment="1">
      <alignment horizontal="left" vertical="top" wrapText="1"/>
    </xf>
    <xf numFmtId="0" fontId="22" fillId="5" borderId="3" xfId="0" applyFont="1" applyFill="1" applyBorder="1" applyAlignment="1">
      <alignment horizontal="left" vertical="top" wrapText="1"/>
    </xf>
    <xf numFmtId="0" fontId="42" fillId="5" borderId="3" xfId="5" applyFont="1" applyFill="1" applyBorder="1" applyAlignment="1">
      <alignment horizontal="left" vertical="top" wrapText="1"/>
    </xf>
    <xf numFmtId="168" fontId="22" fillId="5" borderId="3" xfId="0" applyNumberFormat="1" applyFont="1" applyFill="1" applyBorder="1" applyAlignment="1">
      <alignment horizontal="left" vertical="top" wrapText="1"/>
    </xf>
    <xf numFmtId="0" fontId="8" fillId="2" borderId="0" xfId="0" applyFont="1" applyFill="1" applyAlignment="1">
      <alignment wrapText="1"/>
    </xf>
    <xf numFmtId="0" fontId="0" fillId="0" borderId="4" xfId="0" applyBorder="1" applyAlignment="1">
      <alignment horizontal="right" vertical="center" wrapText="1"/>
    </xf>
    <xf numFmtId="0" fontId="0" fillId="0" borderId="4" xfId="0" applyBorder="1" applyAlignment="1">
      <alignment horizontal="left" vertical="center"/>
    </xf>
    <xf numFmtId="0" fontId="0" fillId="0" borderId="4" xfId="0" applyBorder="1" applyAlignment="1">
      <alignment horizontal="center" vertical="center"/>
    </xf>
    <xf numFmtId="0" fontId="6" fillId="0" borderId="4" xfId="0" applyFont="1" applyBorder="1" applyAlignment="1">
      <alignment horizontal="center" vertical="center"/>
    </xf>
    <xf numFmtId="0" fontId="6" fillId="0" borderId="4" xfId="0" applyFont="1" applyBorder="1" applyAlignment="1">
      <alignment horizontal="center" vertical="center" wrapText="1"/>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0" fillId="0" borderId="3" xfId="0" applyBorder="1" applyAlignment="1">
      <alignment horizontal="center" vertical="center"/>
    </xf>
    <xf numFmtId="0" fontId="6" fillId="0" borderId="3" xfId="0" applyFont="1" applyBorder="1" applyAlignment="1">
      <alignment horizontal="center" vertical="center"/>
    </xf>
    <xf numFmtId="0" fontId="6" fillId="0" borderId="3" xfId="0" applyFont="1" applyBorder="1" applyAlignment="1">
      <alignment horizontal="center" vertical="center" wrapText="1"/>
    </xf>
    <xf numFmtId="0" fontId="0" fillId="0" borderId="0" xfId="0" applyAlignment="1">
      <alignment horizontal="right" vertical="center" wrapText="1"/>
    </xf>
    <xf numFmtId="0" fontId="26" fillId="0" borderId="0" xfId="0" applyFont="1" applyAlignment="1">
      <alignment horizontal="right" vertical="center" wrapText="1"/>
    </xf>
    <xf numFmtId="0" fontId="26" fillId="0" borderId="0" xfId="0" applyFont="1" applyAlignment="1">
      <alignment horizontal="left" vertical="center"/>
    </xf>
    <xf numFmtId="0" fontId="26" fillId="0" borderId="0" xfId="0" applyFont="1" applyAlignment="1">
      <alignment horizontal="right" vertical="center"/>
    </xf>
    <xf numFmtId="0" fontId="26" fillId="0" borderId="0" xfId="0" applyFont="1" applyAlignment="1">
      <alignment horizontal="center" vertical="center"/>
    </xf>
    <xf numFmtId="11" fontId="0" fillId="0" borderId="0" xfId="0" applyNumberFormat="1" applyAlignment="1">
      <alignment horizontal="right" vertical="center" wrapText="1"/>
    </xf>
    <xf numFmtId="11" fontId="26" fillId="0" borderId="0" xfId="0" applyNumberFormat="1" applyFont="1" applyAlignment="1">
      <alignment horizontal="right" vertical="center" wrapText="1"/>
    </xf>
    <xf numFmtId="0" fontId="0" fillId="0" borderId="3" xfId="0" applyBorder="1" applyAlignment="1">
      <alignment horizontal="right" vertical="center" wrapText="1"/>
    </xf>
    <xf numFmtId="0" fontId="26" fillId="0" borderId="3" xfId="0" applyFont="1" applyBorder="1" applyAlignment="1">
      <alignment horizontal="right" vertical="center" wrapText="1"/>
    </xf>
    <xf numFmtId="0" fontId="26" fillId="0" borderId="3" xfId="0" applyFont="1" applyBorder="1" applyAlignment="1">
      <alignment horizontal="left" vertical="center"/>
    </xf>
    <xf numFmtId="0" fontId="26" fillId="0" borderId="3" xfId="0" applyFont="1" applyBorder="1" applyAlignment="1">
      <alignment horizontal="right" vertical="center"/>
    </xf>
    <xf numFmtId="0" fontId="22" fillId="0" borderId="0" xfId="0" applyFont="1" applyFill="1" applyBorder="1" applyAlignment="1">
      <alignment vertical="center" wrapText="1"/>
    </xf>
    <xf numFmtId="0" fontId="26" fillId="0" borderId="3" xfId="0" applyFont="1" applyBorder="1" applyAlignment="1">
      <alignment horizontal="left" vertical="center" wrapText="1"/>
    </xf>
    <xf numFmtId="0" fontId="26" fillId="0" borderId="0" xfId="0" applyFont="1" applyAlignment="1">
      <alignment horizontal="left" vertical="center" wrapText="1"/>
    </xf>
    <xf numFmtId="0" fontId="26" fillId="0" borderId="3" xfId="0" applyFont="1" applyBorder="1" applyAlignment="1">
      <alignment horizontal="center" vertical="center"/>
    </xf>
    <xf numFmtId="0" fontId="22" fillId="0" borderId="0" xfId="0" applyFont="1" applyAlignment="1">
      <alignment horizontal="left" vertical="center"/>
    </xf>
    <xf numFmtId="0" fontId="0" fillId="2" borderId="2" xfId="0" applyFill="1" applyBorder="1"/>
    <xf numFmtId="0" fontId="43" fillId="2" borderId="2" xfId="0" applyFont="1" applyFill="1" applyBorder="1" applyAlignment="1">
      <alignment horizontal="left" vertical="center" wrapText="1"/>
    </xf>
    <xf numFmtId="0" fontId="29" fillId="0" borderId="1" xfId="0" applyFont="1" applyBorder="1" applyAlignment="1">
      <alignment horizontal="left" vertical="center"/>
    </xf>
    <xf numFmtId="0" fontId="26" fillId="0" borderId="1" xfId="0" applyFont="1" applyBorder="1" applyAlignment="1">
      <alignment horizontal="left" vertical="center"/>
    </xf>
    <xf numFmtId="0" fontId="26" fillId="0" borderId="1" xfId="0" applyFont="1" applyBorder="1" applyAlignment="1">
      <alignment horizontal="left" vertical="center" wrapText="1"/>
    </xf>
    <xf numFmtId="0" fontId="8" fillId="2" borderId="0" xfId="0" applyFont="1" applyFill="1" applyAlignment="1">
      <alignment horizontal="left"/>
    </xf>
    <xf numFmtId="0" fontId="0" fillId="0" borderId="0" xfId="0" applyFill="1" applyAlignment="1">
      <alignment horizontal="center"/>
    </xf>
    <xf numFmtId="0" fontId="0" fillId="2" borderId="2" xfId="0" applyFont="1" applyFill="1" applyBorder="1" applyAlignment="1">
      <alignment horizontal="center"/>
    </xf>
    <xf numFmtId="0" fontId="8" fillId="2" borderId="1" xfId="0" applyFont="1" applyFill="1" applyBorder="1" applyAlignment="1">
      <alignment horizontal="center" vertical="center"/>
    </xf>
    <xf numFmtId="0" fontId="8" fillId="2" borderId="1" xfId="0" applyFont="1" applyFill="1" applyBorder="1" applyAlignment="1">
      <alignment horizontal="left" vertical="center"/>
    </xf>
    <xf numFmtId="0" fontId="31" fillId="2" borderId="1" xfId="0" applyFont="1" applyFill="1" applyBorder="1" applyAlignment="1">
      <alignment horizontal="center" vertical="center"/>
    </xf>
    <xf numFmtId="0" fontId="8" fillId="2" borderId="0" xfId="0" applyFont="1" applyFill="1" applyBorder="1" applyAlignment="1">
      <alignment horizontal="center"/>
    </xf>
    <xf numFmtId="2" fontId="8" fillId="2" borderId="0" xfId="0" applyNumberFormat="1" applyFont="1" applyFill="1" applyBorder="1" applyAlignment="1">
      <alignment horizontal="center" vertical="center"/>
    </xf>
    <xf numFmtId="0" fontId="26" fillId="2" borderId="0" xfId="0" applyFont="1" applyFill="1" applyBorder="1" applyAlignment="1">
      <alignment horizontal="center" vertical="center"/>
    </xf>
    <xf numFmtId="2" fontId="30" fillId="2" borderId="0" xfId="0" applyNumberFormat="1" applyFont="1" applyFill="1" applyBorder="1" applyAlignment="1">
      <alignment horizontal="center" vertical="center"/>
    </xf>
    <xf numFmtId="2" fontId="26" fillId="2" borderId="0" xfId="0" applyNumberFormat="1" applyFont="1" applyFill="1" applyBorder="1" applyAlignment="1">
      <alignment horizontal="center" vertical="center"/>
    </xf>
    <xf numFmtId="2" fontId="8" fillId="2" borderId="0" xfId="0" applyNumberFormat="1" applyFont="1" applyFill="1" applyAlignment="1">
      <alignment horizontal="center"/>
    </xf>
    <xf numFmtId="0" fontId="8" fillId="2" borderId="2" xfId="0" applyFont="1" applyFill="1" applyBorder="1"/>
    <xf numFmtId="0" fontId="8" fillId="2" borderId="2" xfId="0" applyFont="1" applyFill="1" applyBorder="1" applyAlignment="1">
      <alignment horizontal="center"/>
    </xf>
    <xf numFmtId="2" fontId="8" fillId="2" borderId="2" xfId="0" applyNumberFormat="1" applyFont="1" applyFill="1" applyBorder="1" applyAlignment="1">
      <alignment horizontal="center"/>
    </xf>
    <xf numFmtId="0" fontId="0" fillId="2" borderId="0" xfId="0" applyFont="1" applyFill="1" applyAlignment="1">
      <alignment horizontal="left"/>
    </xf>
    <xf numFmtId="0" fontId="0" fillId="2" borderId="0" xfId="0" applyFont="1" applyFill="1" applyAlignment="1">
      <alignment wrapText="1"/>
    </xf>
    <xf numFmtId="0" fontId="0" fillId="2" borderId="0" xfId="0" applyFont="1" applyFill="1" applyAlignment="1">
      <alignment horizontal="center"/>
    </xf>
    <xf numFmtId="2" fontId="0" fillId="2" borderId="0" xfId="0" applyNumberFormat="1" applyFont="1" applyFill="1" applyAlignment="1">
      <alignment horizontal="center"/>
    </xf>
    <xf numFmtId="0" fontId="8" fillId="2" borderId="0" xfId="0" applyFont="1" applyFill="1" applyBorder="1" applyAlignment="1">
      <alignment wrapText="1"/>
    </xf>
    <xf numFmtId="2" fontId="0" fillId="2" borderId="0" xfId="0" applyNumberFormat="1" applyFont="1" applyFill="1" applyBorder="1" applyAlignment="1">
      <alignment horizontal="center"/>
    </xf>
    <xf numFmtId="2" fontId="12" fillId="2" borderId="0" xfId="1" applyNumberFormat="1" applyFont="1" applyFill="1" applyBorder="1" applyAlignment="1">
      <alignment horizontal="center" wrapText="1"/>
    </xf>
    <xf numFmtId="0" fontId="0" fillId="2" borderId="0" xfId="0" applyFont="1" applyFill="1" applyBorder="1"/>
    <xf numFmtId="2" fontId="20" fillId="2" borderId="0" xfId="0" applyNumberFormat="1" applyFont="1" applyFill="1" applyAlignment="1">
      <alignment horizontal="center"/>
    </xf>
    <xf numFmtId="2" fontId="30" fillId="2" borderId="0" xfId="0" applyNumberFormat="1" applyFont="1" applyFill="1" applyAlignment="1">
      <alignment horizontal="center"/>
    </xf>
    <xf numFmtId="164" fontId="20" fillId="2" borderId="0" xfId="0" applyNumberFormat="1" applyFont="1" applyFill="1" applyAlignment="1">
      <alignment horizontal="center"/>
    </xf>
    <xf numFmtId="0" fontId="0" fillId="2" borderId="1" xfId="0" applyFont="1" applyFill="1" applyBorder="1" applyAlignment="1">
      <alignment horizontal="center" wrapText="1"/>
    </xf>
    <xf numFmtId="0" fontId="30" fillId="2" borderId="1" xfId="0" applyFont="1" applyFill="1" applyBorder="1" applyAlignment="1">
      <alignment horizontal="left" wrapText="1"/>
    </xf>
    <xf numFmtId="0" fontId="8" fillId="2" borderId="1" xfId="0" applyFont="1" applyFill="1" applyBorder="1" applyAlignment="1">
      <alignment horizontal="center" wrapText="1"/>
    </xf>
    <xf numFmtId="2" fontId="0" fillId="2" borderId="1" xfId="0" applyNumberFormat="1" applyFont="1" applyFill="1" applyBorder="1" applyAlignment="1">
      <alignment horizontal="center" wrapText="1"/>
    </xf>
    <xf numFmtId="0" fontId="0" fillId="2" borderId="2" xfId="0" applyFont="1" applyFill="1" applyBorder="1" applyAlignment="1">
      <alignment horizontal="left"/>
    </xf>
    <xf numFmtId="2" fontId="0" fillId="2" borderId="2" xfId="0" applyNumberFormat="1" applyFont="1" applyFill="1" applyBorder="1" applyAlignment="1">
      <alignment horizontal="center"/>
    </xf>
    <xf numFmtId="0" fontId="0" fillId="0" borderId="0" xfId="0" applyFont="1" applyBorder="1"/>
    <xf numFmtId="0" fontId="0" fillId="0" borderId="0" xfId="0" applyFont="1" applyBorder="1" applyAlignment="1">
      <alignment horizontal="left"/>
    </xf>
    <xf numFmtId="0" fontId="0" fillId="2" borderId="3" xfId="0" applyFont="1" applyFill="1" applyBorder="1" applyAlignment="1">
      <alignment horizontal="center"/>
    </xf>
    <xf numFmtId="0" fontId="0" fillId="2" borderId="0" xfId="0" applyFont="1" applyFill="1" applyBorder="1" applyAlignment="1">
      <alignment horizontal="center" vertical="top"/>
    </xf>
    <xf numFmtId="0" fontId="0" fillId="2" borderId="3" xfId="0" applyFont="1" applyFill="1" applyBorder="1" applyAlignment="1">
      <alignment horizontal="center" vertical="top"/>
    </xf>
    <xf numFmtId="0" fontId="20" fillId="2" borderId="3" xfId="0" applyFont="1" applyFill="1" applyBorder="1" applyAlignment="1">
      <alignment horizontal="left" vertical="center"/>
    </xf>
    <xf numFmtId="0" fontId="0" fillId="2" borderId="0" xfId="0" applyFill="1" applyAlignment="1">
      <alignment horizontal="left" vertical="top" wrapText="1"/>
    </xf>
    <xf numFmtId="0" fontId="22" fillId="2" borderId="0" xfId="0" applyFont="1" applyFill="1" applyAlignment="1">
      <alignment wrapText="1"/>
    </xf>
    <xf numFmtId="0" fontId="23" fillId="2" borderId="0" xfId="0" applyFont="1" applyFill="1" applyAlignment="1">
      <alignment horizontal="center" vertical="center"/>
    </xf>
    <xf numFmtId="0" fontId="23" fillId="2" borderId="0" xfId="0" applyFont="1" applyFill="1" applyAlignment="1">
      <alignment horizontal="left" vertical="center"/>
    </xf>
    <xf numFmtId="0" fontId="28" fillId="2" borderId="0" xfId="0" applyFont="1" applyFill="1" applyAlignment="1">
      <alignment horizontal="left" vertical="center" wrapText="1"/>
    </xf>
    <xf numFmtId="0" fontId="23" fillId="2" borderId="0" xfId="0" applyFont="1" applyFill="1" applyAlignment="1">
      <alignment horizontal="left" vertical="center" wrapText="1"/>
    </xf>
    <xf numFmtId="0" fontId="22" fillId="0" borderId="0" xfId="0" applyFont="1" applyAlignment="1">
      <alignment vertical="center"/>
    </xf>
    <xf numFmtId="0" fontId="22" fillId="2" borderId="3" xfId="0" applyFont="1" applyFill="1" applyBorder="1" applyAlignment="1">
      <alignment vertical="center"/>
    </xf>
    <xf numFmtId="0" fontId="22" fillId="0" borderId="0" xfId="0" applyFont="1" applyFill="1" applyBorder="1" applyAlignment="1">
      <alignment horizontal="left" vertical="top" wrapText="1"/>
    </xf>
    <xf numFmtId="166" fontId="8" fillId="0" borderId="0" xfId="0" applyNumberFormat="1" applyFont="1" applyFill="1" applyAlignment="1">
      <alignment horizontal="left"/>
    </xf>
    <xf numFmtId="2" fontId="26" fillId="0" borderId="0" xfId="0" applyNumberFormat="1" applyFont="1" applyAlignment="1">
      <alignment horizontal="right" vertical="center"/>
    </xf>
    <xf numFmtId="2" fontId="26" fillId="0" borderId="0" xfId="0" applyNumberFormat="1" applyFont="1" applyAlignment="1">
      <alignment horizontal="right" vertical="center" wrapText="1"/>
    </xf>
    <xf numFmtId="0" fontId="0" fillId="2" borderId="3" xfId="0" applyFont="1" applyFill="1" applyBorder="1" applyAlignment="1">
      <alignment horizontal="left" vertical="top" wrapText="1"/>
    </xf>
    <xf numFmtId="0" fontId="0" fillId="2" borderId="3" xfId="0" applyFont="1" applyFill="1" applyBorder="1" applyAlignment="1">
      <alignment horizontal="left" vertical="center" wrapText="1"/>
    </xf>
    <xf numFmtId="0" fontId="27" fillId="5" borderId="0" xfId="5" applyFill="1" applyAlignment="1">
      <alignment vertical="top" wrapText="1"/>
    </xf>
    <xf numFmtId="0" fontId="22" fillId="2" borderId="0" xfId="0" applyFont="1" applyFill="1" applyBorder="1" applyAlignment="1">
      <alignment vertical="top" wrapText="1"/>
    </xf>
    <xf numFmtId="0" fontId="27" fillId="5" borderId="0" xfId="5" applyFill="1" applyAlignment="1">
      <alignment horizontal="left" vertical="top" wrapText="1"/>
    </xf>
    <xf numFmtId="0" fontId="8" fillId="2" borderId="5" xfId="0" applyFont="1" applyFill="1" applyBorder="1" applyAlignment="1">
      <alignment horizontal="center"/>
    </xf>
    <xf numFmtId="0" fontId="8" fillId="2" borderId="5" xfId="0" applyFont="1" applyFill="1" applyBorder="1" applyAlignment="1"/>
    <xf numFmtId="0" fontId="8" fillId="2" borderId="1" xfId="0" applyFont="1" applyFill="1" applyBorder="1" applyAlignment="1"/>
    <xf numFmtId="0" fontId="0" fillId="2" borderId="3" xfId="0" applyFont="1" applyFill="1" applyBorder="1" applyAlignment="1">
      <alignment horizontal="center" vertical="center"/>
    </xf>
    <xf numFmtId="0" fontId="0" fillId="2" borderId="3" xfId="0" applyFont="1" applyFill="1" applyBorder="1" applyAlignment="1">
      <alignment vertical="center"/>
    </xf>
    <xf numFmtId="2" fontId="0" fillId="2" borderId="3" xfId="0" applyNumberFormat="1" applyFont="1" applyFill="1" applyBorder="1" applyAlignment="1">
      <alignment horizontal="left" vertical="center"/>
    </xf>
    <xf numFmtId="0" fontId="0" fillId="0" borderId="0" xfId="0" applyFont="1" applyAlignment="1">
      <alignment vertical="center"/>
    </xf>
    <xf numFmtId="0" fontId="0" fillId="2" borderId="0" xfId="0" applyFont="1" applyFill="1" applyAlignment="1">
      <alignment horizontal="center" vertical="top"/>
    </xf>
    <xf numFmtId="0" fontId="0" fillId="0" borderId="0" xfId="0" applyFont="1" applyAlignment="1">
      <alignment horizontal="center" vertical="top"/>
    </xf>
    <xf numFmtId="2" fontId="0" fillId="0" borderId="0" xfId="0" applyNumberFormat="1" applyFont="1" applyAlignment="1">
      <alignment horizontal="left" vertical="top"/>
    </xf>
    <xf numFmtId="0" fontId="0" fillId="0" borderId="0" xfId="0" applyFont="1" applyAlignment="1">
      <alignment horizontal="left" vertical="top" wrapText="1"/>
    </xf>
    <xf numFmtId="0" fontId="0" fillId="2" borderId="0" xfId="0" applyFill="1" applyAlignment="1">
      <alignment horizontal="left" vertical="top" wrapText="1"/>
    </xf>
    <xf numFmtId="0" fontId="0" fillId="2" borderId="0" xfId="0" applyFont="1" applyFill="1" applyBorder="1" applyAlignment="1">
      <alignment horizontal="left" vertical="top" wrapText="1"/>
    </xf>
    <xf numFmtId="0" fontId="0" fillId="2" borderId="0" xfId="0" applyFont="1" applyFill="1" applyBorder="1" applyAlignment="1">
      <alignment horizontal="left" vertical="top"/>
    </xf>
    <xf numFmtId="0" fontId="0" fillId="2" borderId="3"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0" xfId="0" applyFont="1" applyFill="1" applyBorder="1" applyAlignment="1">
      <alignment horizontal="left" vertical="top"/>
    </xf>
    <xf numFmtId="0" fontId="22" fillId="2" borderId="3" xfId="0" applyFont="1" applyFill="1" applyBorder="1" applyAlignment="1">
      <alignment horizontal="left" vertical="center" wrapText="1"/>
    </xf>
    <xf numFmtId="0" fontId="22" fillId="5" borderId="0" xfId="0" applyFont="1" applyFill="1" applyAlignment="1">
      <alignment horizontal="left" vertical="top" wrapText="1"/>
    </xf>
    <xf numFmtId="0" fontId="0" fillId="0" borderId="3" xfId="0" applyFont="1" applyBorder="1" applyAlignment="1">
      <alignment horizontal="left" vertical="center"/>
    </xf>
    <xf numFmtId="0" fontId="0" fillId="2" borderId="0" xfId="0" applyFont="1" applyFill="1" applyBorder="1" applyAlignment="1">
      <alignment horizontal="center" vertical="top" wrapText="1"/>
    </xf>
    <xf numFmtId="0" fontId="29" fillId="2" borderId="0" xfId="0" applyFont="1" applyFill="1" applyBorder="1" applyAlignment="1">
      <alignment horizontal="left" vertical="top" wrapText="1"/>
    </xf>
    <xf numFmtId="0" fontId="0" fillId="2" borderId="2" xfId="0" applyFont="1" applyFill="1" applyBorder="1" applyAlignment="1">
      <alignment horizontal="left" wrapText="1"/>
    </xf>
    <xf numFmtId="0" fontId="22" fillId="2" borderId="0" xfId="0" applyFont="1" applyFill="1" applyBorder="1" applyAlignment="1">
      <alignment horizontal="left" vertical="center" wrapText="1"/>
    </xf>
    <xf numFmtId="0" fontId="8" fillId="2" borderId="0" xfId="0" applyFont="1" applyFill="1" applyAlignment="1">
      <alignment wrapText="1"/>
    </xf>
    <xf numFmtId="0" fontId="45" fillId="2" borderId="0" xfId="0" applyFont="1" applyFill="1" applyAlignment="1">
      <alignment horizontal="left" vertical="center" wrapText="1"/>
    </xf>
    <xf numFmtId="0" fontId="45" fillId="2" borderId="3" xfId="0" applyFont="1" applyFill="1" applyBorder="1" applyAlignment="1">
      <alignment horizontal="left" vertical="center" wrapText="1"/>
    </xf>
    <xf numFmtId="0" fontId="0" fillId="2" borderId="6" xfId="0" applyFill="1" applyBorder="1" applyAlignment="1">
      <alignment horizontal="left" vertical="center"/>
    </xf>
    <xf numFmtId="0" fontId="0" fillId="2" borderId="0" xfId="0" applyFill="1" applyAlignment="1">
      <alignment horizontal="left" vertical="center" wrapText="1"/>
    </xf>
    <xf numFmtId="0" fontId="0" fillId="2" borderId="2" xfId="0" applyFill="1" applyBorder="1" applyAlignment="1">
      <alignment horizontal="left" vertical="center" wrapText="1"/>
    </xf>
    <xf numFmtId="0" fontId="8" fillId="2" borderId="2" xfId="0" applyFont="1" applyFill="1" applyBorder="1" applyAlignment="1">
      <alignment horizontal="left" vertical="center"/>
    </xf>
    <xf numFmtId="0" fontId="29" fillId="2" borderId="2" xfId="0" applyFont="1" applyFill="1" applyBorder="1" applyAlignment="1">
      <alignment horizontal="left" vertical="center"/>
    </xf>
    <xf numFmtId="0" fontId="22" fillId="0" borderId="0" xfId="0" applyFont="1" applyAlignment="1">
      <alignment horizontal="left" vertical="center" wrapText="1"/>
    </xf>
    <xf numFmtId="0" fontId="22" fillId="2" borderId="0" xfId="0" applyFont="1" applyFill="1" applyBorder="1" applyAlignment="1">
      <alignment horizontal="left" wrapText="1"/>
    </xf>
    <xf numFmtId="0" fontId="22" fillId="2" borderId="0" xfId="0" applyFont="1" applyFill="1" applyBorder="1" applyAlignment="1">
      <alignment vertical="center" wrapText="1"/>
    </xf>
    <xf numFmtId="0" fontId="0" fillId="2" borderId="3" xfId="0" applyFill="1" applyBorder="1" applyAlignment="1">
      <alignment horizontal="left" vertical="center" wrapText="1"/>
    </xf>
    <xf numFmtId="0" fontId="0" fillId="2" borderId="0" xfId="0" applyFont="1" applyFill="1" applyBorder="1" applyAlignment="1">
      <alignment horizontal="left" vertical="center" wrapText="1"/>
    </xf>
    <xf numFmtId="0" fontId="0" fillId="2" borderId="3" xfId="0" applyFont="1" applyFill="1" applyBorder="1" applyAlignment="1">
      <alignment horizontal="left" vertical="center" wrapText="1"/>
    </xf>
    <xf numFmtId="0" fontId="26" fillId="2" borderId="0" xfId="0" applyFont="1" applyFill="1" applyAlignment="1">
      <alignment horizontal="left" vertical="top" wrapText="1"/>
    </xf>
    <xf numFmtId="0" fontId="22" fillId="2" borderId="3" xfId="0" applyFont="1" applyFill="1" applyBorder="1" applyAlignment="1">
      <alignment horizontal="left" vertical="center"/>
    </xf>
    <xf numFmtId="0" fontId="0" fillId="2" borderId="0" xfId="0" applyFill="1" applyAlignment="1">
      <alignment horizontal="left" vertical="top" wrapText="1"/>
    </xf>
    <xf numFmtId="0" fontId="6" fillId="2" borderId="0" xfId="0" applyFont="1" applyFill="1" applyAlignment="1">
      <alignment horizontal="left" vertical="top" wrapText="1"/>
    </xf>
    <xf numFmtId="0" fontId="0" fillId="2" borderId="0" xfId="0" applyFill="1" applyAlignment="1">
      <alignment horizontal="right" vertical="top" wrapText="1"/>
    </xf>
    <xf numFmtId="0" fontId="22" fillId="2" borderId="3" xfId="0" applyFont="1" applyFill="1" applyBorder="1" applyAlignment="1">
      <alignment vertical="center" wrapText="1"/>
    </xf>
    <xf numFmtId="0" fontId="0" fillId="2" borderId="0" xfId="0" applyFill="1" applyAlignment="1">
      <alignment horizontal="left" wrapText="1"/>
    </xf>
    <xf numFmtId="0" fontId="0" fillId="2" borderId="2" xfId="0" applyFill="1" applyBorder="1" applyAlignment="1">
      <alignment horizontal="center"/>
    </xf>
  </cellXfs>
  <cellStyles count="11">
    <cellStyle name="Comma 2" xfId="4"/>
    <cellStyle name="Hyperlink" xfId="5" builtinId="8"/>
    <cellStyle name="Normal" xfId="0" builtinId="0"/>
    <cellStyle name="Normal 2" xfId="3"/>
    <cellStyle name="Normal 3" xfId="10"/>
    <cellStyle name="Normal_Sheet1" xfId="1"/>
    <cellStyle name="Normal_Table A.12 RelContFxnGrpDepthRe" xfId="6"/>
    <cellStyle name="Normal_Table A.14_Jelly bio-wet eq" xfId="8"/>
    <cellStyle name="Normal_Table A.15 FishLtoWt Eq" xfId="9"/>
    <cellStyle name="Normal_Table A.9.1 rec fish sp FxnGrp" xfId="7"/>
    <cellStyle name="Percent" xfId="2" builtinId="5"/>
  </cellStyles>
  <dxfs count="16">
    <dxf>
      <numFmt numFmtId="1" formatCode="0"/>
    </dxf>
    <dxf>
      <numFmt numFmtId="1" formatCode="0"/>
    </dxf>
    <dxf>
      <numFmt numFmtId="1" formatCode="0"/>
    </dxf>
    <dxf>
      <numFmt numFmtId="1" formatCode="0"/>
    </dxf>
    <dxf>
      <font>
        <color rgb="FF9C0006"/>
      </font>
      <fill>
        <patternFill>
          <bgColor rgb="FFFFC7CE"/>
        </patternFill>
      </fill>
    </dxf>
    <dxf>
      <font>
        <color rgb="FF9C0006"/>
      </font>
      <fill>
        <patternFill>
          <bgColor rgb="FFFFC7CE"/>
        </patternFill>
      </fill>
    </dxf>
    <dxf>
      <numFmt numFmtId="1" formatCode="0"/>
    </dxf>
    <dxf>
      <numFmt numFmtId="1" formatCode="0"/>
    </dxf>
    <dxf>
      <numFmt numFmtId="1" formatCode="0"/>
    </dxf>
    <dxf>
      <numFmt numFmtId="1" formatCode="0"/>
    </dxf>
    <dxf>
      <fill>
        <patternFill>
          <bgColor theme="5" tint="0.39994506668294322"/>
        </patternFill>
      </fill>
    </dxf>
    <dxf>
      <numFmt numFmtId="1" formatCode="0"/>
    </dxf>
    <dxf>
      <numFmt numFmtId="1" formatCode="0"/>
    </dxf>
    <dxf>
      <numFmt numFmtId="1" formatCode="0"/>
    </dxf>
    <dxf>
      <numFmt numFmtId="1" formatCode="0"/>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elly/Dropbox/Lenfest/GoMex%20Model/Currently%20Used%20Balanced%20Model/GoMex_H_2014081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Main"/>
      <sheetName val="Diets"/>
      <sheetName val="Detritus"/>
      <sheetName val="Fishing"/>
      <sheetName val="Discards"/>
      <sheetName val="pedigree_Parameters"/>
      <sheetName val="pedigree_Diet"/>
      <sheetName val="pedigree_DietPrefRules"/>
      <sheetName val="pedigree_Landings"/>
      <sheetName val="pedigree_Discards"/>
      <sheetName val="MainOutputs"/>
      <sheetName val="Mortalities"/>
      <sheetName val="EcotranType"/>
      <sheetName val="EcotranRecycling"/>
      <sheetName val="FunctionalResponse"/>
    </sheetNames>
    <sheetDataSet>
      <sheetData sheetId="0" refreshError="1"/>
      <sheetData sheetId="1">
        <row r="1">
          <cell r="C1" t="str">
            <v>Num</v>
          </cell>
        </row>
        <row r="2">
          <cell r="C2">
            <v>1</v>
          </cell>
          <cell r="E2" t="str">
            <v>phytoplankton</v>
          </cell>
          <cell r="F2">
            <v>1</v>
          </cell>
          <cell r="G2">
            <v>24.188063889560201</v>
          </cell>
          <cell r="H2">
            <v>254.06</v>
          </cell>
          <cell r="I2">
            <v>0</v>
          </cell>
          <cell r="L2">
            <v>0</v>
          </cell>
          <cell r="M2">
            <v>0</v>
          </cell>
          <cell r="N2">
            <v>0</v>
          </cell>
        </row>
        <row r="3">
          <cell r="B3">
            <v>50</v>
          </cell>
          <cell r="C3">
            <v>2</v>
          </cell>
          <cell r="E3" t="str">
            <v>seagrass and macroalgae</v>
          </cell>
          <cell r="F3">
            <v>1</v>
          </cell>
          <cell r="G3">
            <v>205.38</v>
          </cell>
          <cell r="H3">
            <v>17.007000000000001</v>
          </cell>
          <cell r="I3">
            <v>0</v>
          </cell>
          <cell r="L3">
            <v>0</v>
          </cell>
          <cell r="M3">
            <v>0</v>
          </cell>
          <cell r="N3">
            <v>0</v>
          </cell>
        </row>
        <row r="4">
          <cell r="B4">
            <v>4</v>
          </cell>
          <cell r="C4">
            <v>3</v>
          </cell>
          <cell r="E4" t="str">
            <v>microzoo</v>
          </cell>
          <cell r="F4">
            <v>0</v>
          </cell>
          <cell r="G4">
            <v>13.84470186560184</v>
          </cell>
          <cell r="H4">
            <v>200</v>
          </cell>
          <cell r="I4">
            <v>215</v>
          </cell>
          <cell r="L4">
            <v>0</v>
          </cell>
          <cell r="M4">
            <v>0.05</v>
          </cell>
          <cell r="N4">
            <v>0</v>
          </cell>
        </row>
        <row r="5">
          <cell r="B5">
            <v>2</v>
          </cell>
          <cell r="C5">
            <v>4</v>
          </cell>
          <cell r="E5" t="str">
            <v>lg copepods</v>
          </cell>
          <cell r="F5">
            <v>0</v>
          </cell>
          <cell r="G5">
            <v>4.392465753421968</v>
          </cell>
          <cell r="H5">
            <v>27</v>
          </cell>
          <cell r="K5">
            <v>0.4</v>
          </cell>
          <cell r="L5">
            <v>0</v>
          </cell>
          <cell r="M5">
            <v>0.1</v>
          </cell>
          <cell r="N5">
            <v>0</v>
          </cell>
        </row>
        <row r="6">
          <cell r="C6">
            <v>5</v>
          </cell>
          <cell r="E6" t="str">
            <v>sm copepods</v>
          </cell>
          <cell r="F6">
            <v>0</v>
          </cell>
          <cell r="G6">
            <v>8.3000000000000007</v>
          </cell>
          <cell r="H6">
            <v>45</v>
          </cell>
          <cell r="K6">
            <v>0.4</v>
          </cell>
          <cell r="L6">
            <v>0</v>
          </cell>
          <cell r="M6">
            <v>0.1</v>
          </cell>
          <cell r="N6">
            <v>0</v>
          </cell>
        </row>
        <row r="7">
          <cell r="B7">
            <v>517</v>
          </cell>
          <cell r="C7">
            <v>6</v>
          </cell>
          <cell r="E7" t="str">
            <v>euphausiids</v>
          </cell>
          <cell r="F7">
            <v>0</v>
          </cell>
          <cell r="G7">
            <v>1.2495787177789439</v>
          </cell>
          <cell r="H7">
            <v>20.7</v>
          </cell>
          <cell r="K7">
            <v>0.4</v>
          </cell>
          <cell r="L7">
            <v>0</v>
          </cell>
          <cell r="M7">
            <v>0.1</v>
          </cell>
          <cell r="N7">
            <v>0</v>
          </cell>
        </row>
        <row r="8">
          <cell r="B8">
            <v>306</v>
          </cell>
          <cell r="C8">
            <v>7</v>
          </cell>
          <cell r="E8" t="str">
            <v>other mesozoo</v>
          </cell>
          <cell r="F8">
            <v>0</v>
          </cell>
          <cell r="G8">
            <v>195.949221442896</v>
          </cell>
          <cell r="H8">
            <v>19</v>
          </cell>
          <cell r="K8">
            <v>0.4</v>
          </cell>
          <cell r="L8">
            <v>0</v>
          </cell>
          <cell r="M8">
            <v>0.1</v>
          </cell>
          <cell r="N8">
            <v>0</v>
          </cell>
        </row>
        <row r="9">
          <cell r="C9">
            <v>8</v>
          </cell>
          <cell r="E9" t="str">
            <v>fish larvae</v>
          </cell>
          <cell r="F9">
            <v>0</v>
          </cell>
          <cell r="G9">
            <v>0.21048</v>
          </cell>
          <cell r="H9">
            <v>90.45</v>
          </cell>
          <cell r="I9">
            <v>110</v>
          </cell>
          <cell r="L9">
            <v>0</v>
          </cell>
          <cell r="M9">
            <v>0.45</v>
          </cell>
          <cell r="N9">
            <v>0</v>
          </cell>
        </row>
        <row r="10">
          <cell r="C10">
            <v>9</v>
          </cell>
          <cell r="E10" t="str">
            <v>penaeid shrimp</v>
          </cell>
          <cell r="F10">
            <v>0</v>
          </cell>
          <cell r="G10">
            <v>1.5189970559999999</v>
          </cell>
          <cell r="H10">
            <v>14.68</v>
          </cell>
          <cell r="K10">
            <v>0.25</v>
          </cell>
          <cell r="L10">
            <v>0</v>
          </cell>
          <cell r="M10">
            <v>0.15</v>
          </cell>
          <cell r="N10">
            <v>0</v>
          </cell>
        </row>
        <row r="11">
          <cell r="C11">
            <v>10</v>
          </cell>
          <cell r="E11" t="str">
            <v>lg jellyfish</v>
          </cell>
          <cell r="F11">
            <v>0</v>
          </cell>
          <cell r="G11">
            <v>4.8009000000000004</v>
          </cell>
          <cell r="H11">
            <v>18.25</v>
          </cell>
          <cell r="I11">
            <v>60</v>
          </cell>
          <cell r="L11">
            <v>0</v>
          </cell>
          <cell r="M11">
            <v>0.1</v>
          </cell>
          <cell r="N11">
            <v>0</v>
          </cell>
        </row>
        <row r="12">
          <cell r="C12">
            <v>11</v>
          </cell>
          <cell r="E12" t="str">
            <v>gelatinous filter feeders</v>
          </cell>
          <cell r="F12">
            <v>0</v>
          </cell>
          <cell r="G12">
            <v>1.4171229375014978</v>
          </cell>
          <cell r="H12">
            <v>90.1</v>
          </cell>
          <cell r="K12">
            <v>0.4</v>
          </cell>
          <cell r="L12">
            <v>0</v>
          </cell>
          <cell r="M12">
            <v>0.1</v>
          </cell>
          <cell r="N12">
            <v>0</v>
          </cell>
        </row>
        <row r="13">
          <cell r="C13">
            <v>12</v>
          </cell>
          <cell r="E13" t="str">
            <v>sm gelatinous carnivores</v>
          </cell>
          <cell r="F13">
            <v>0</v>
          </cell>
          <cell r="G13">
            <v>4.1688447648479059</v>
          </cell>
          <cell r="H13">
            <v>19.827500000000001</v>
          </cell>
          <cell r="K13">
            <v>0.4</v>
          </cell>
          <cell r="L13">
            <v>0</v>
          </cell>
          <cell r="M13">
            <v>0.1</v>
          </cell>
          <cell r="N13">
            <v>0</v>
          </cell>
        </row>
        <row r="14">
          <cell r="C14">
            <v>13</v>
          </cell>
          <cell r="E14" t="str">
            <v>anchovies</v>
          </cell>
          <cell r="F14">
            <v>0</v>
          </cell>
          <cell r="G14">
            <v>9.1770123999999988</v>
          </cell>
          <cell r="H14">
            <v>2.4430000000000001</v>
          </cell>
          <cell r="I14">
            <v>12.11</v>
          </cell>
          <cell r="L14">
            <v>0</v>
          </cell>
          <cell r="M14">
            <v>0.2</v>
          </cell>
          <cell r="N14">
            <v>0</v>
          </cell>
        </row>
        <row r="15">
          <cell r="C15">
            <v>14</v>
          </cell>
          <cell r="E15" t="str">
            <v>Atlantic bumper</v>
          </cell>
          <cell r="F15">
            <v>0</v>
          </cell>
          <cell r="G15">
            <v>7.1787976319999993</v>
          </cell>
          <cell r="H15">
            <v>0.6</v>
          </cell>
          <cell r="I15">
            <v>11</v>
          </cell>
          <cell r="L15">
            <v>0</v>
          </cell>
          <cell r="M15">
            <v>0.2</v>
          </cell>
          <cell r="N15">
            <v>0</v>
          </cell>
        </row>
        <row r="16">
          <cell r="C16">
            <v>15</v>
          </cell>
          <cell r="E16" t="str">
            <v>butterfishes</v>
          </cell>
          <cell r="F16">
            <v>0</v>
          </cell>
          <cell r="G16">
            <v>17.267031264</v>
          </cell>
          <cell r="H16">
            <v>0.8</v>
          </cell>
          <cell r="I16">
            <v>1.85</v>
          </cell>
          <cell r="L16">
            <v>0</v>
          </cell>
          <cell r="M16">
            <v>0.2</v>
          </cell>
          <cell r="N16">
            <v>0</v>
          </cell>
        </row>
        <row r="17">
          <cell r="C17">
            <v>16</v>
          </cell>
          <cell r="E17" t="str">
            <v>eels</v>
          </cell>
          <cell r="F17">
            <v>0</v>
          </cell>
          <cell r="H17">
            <v>0.85499999999999998</v>
          </cell>
          <cell r="I17">
            <v>12.92</v>
          </cell>
          <cell r="J17">
            <v>0.8</v>
          </cell>
          <cell r="L17">
            <v>0</v>
          </cell>
          <cell r="M17">
            <v>0.2</v>
          </cell>
          <cell r="N17">
            <v>0</v>
          </cell>
        </row>
        <row r="18">
          <cell r="C18">
            <v>17</v>
          </cell>
          <cell r="E18" t="str">
            <v>herrings</v>
          </cell>
          <cell r="F18">
            <v>0</v>
          </cell>
          <cell r="G18">
            <v>10.844342899999999</v>
          </cell>
          <cell r="H18">
            <v>1.6</v>
          </cell>
          <cell r="I18">
            <v>13.26</v>
          </cell>
          <cell r="L18">
            <v>0</v>
          </cell>
          <cell r="M18">
            <v>0.2</v>
          </cell>
          <cell r="N18">
            <v>0</v>
          </cell>
        </row>
        <row r="19">
          <cell r="C19">
            <v>18</v>
          </cell>
          <cell r="E19" t="str">
            <v>gulf menhaden</v>
          </cell>
          <cell r="F19">
            <v>0</v>
          </cell>
          <cell r="G19">
            <v>8.7219913499999997</v>
          </cell>
          <cell r="H19">
            <v>2.1</v>
          </cell>
          <cell r="I19">
            <v>13.64</v>
          </cell>
          <cell r="L19">
            <v>0</v>
          </cell>
          <cell r="M19">
            <v>0.2</v>
          </cell>
          <cell r="N19">
            <v>0</v>
          </cell>
        </row>
        <row r="20">
          <cell r="C20">
            <v>19</v>
          </cell>
          <cell r="E20" t="str">
            <v>mullet</v>
          </cell>
          <cell r="F20">
            <v>0</v>
          </cell>
          <cell r="G20">
            <v>0.3216</v>
          </cell>
          <cell r="H20">
            <v>1.8</v>
          </cell>
          <cell r="I20">
            <v>18.225300000000001</v>
          </cell>
          <cell r="L20">
            <v>0</v>
          </cell>
          <cell r="M20">
            <v>0.2</v>
          </cell>
          <cell r="N20">
            <v>0</v>
          </cell>
        </row>
        <row r="21">
          <cell r="C21">
            <v>20</v>
          </cell>
          <cell r="E21" t="str">
            <v>red drum</v>
          </cell>
          <cell r="F21">
            <v>0</v>
          </cell>
          <cell r="G21">
            <v>0.23702399999999998</v>
          </cell>
          <cell r="H21">
            <v>0.35</v>
          </cell>
          <cell r="I21">
            <v>3.67</v>
          </cell>
          <cell r="L21">
            <v>0</v>
          </cell>
          <cell r="M21">
            <v>0.2</v>
          </cell>
          <cell r="N21">
            <v>0</v>
          </cell>
        </row>
        <row r="22">
          <cell r="C22">
            <v>21</v>
          </cell>
          <cell r="E22" t="str">
            <v>snapper_grouper</v>
          </cell>
          <cell r="F22">
            <v>0</v>
          </cell>
          <cell r="G22">
            <v>5.1344960000000002E-2</v>
          </cell>
          <cell r="H22">
            <v>0.56999999999999995</v>
          </cell>
          <cell r="I22">
            <v>4.95</v>
          </cell>
          <cell r="L22">
            <v>0</v>
          </cell>
          <cell r="M22">
            <v>0.2</v>
          </cell>
          <cell r="N22">
            <v>0</v>
          </cell>
        </row>
        <row r="23">
          <cell r="C23">
            <v>22</v>
          </cell>
          <cell r="E23" t="str">
            <v>skates and rays</v>
          </cell>
          <cell r="F23">
            <v>0</v>
          </cell>
          <cell r="G23">
            <v>0.36186339999999995</v>
          </cell>
          <cell r="H23">
            <v>0.38</v>
          </cell>
          <cell r="I23">
            <v>7.84</v>
          </cell>
          <cell r="L23">
            <v>0</v>
          </cell>
          <cell r="M23">
            <v>0.2</v>
          </cell>
          <cell r="N23">
            <v>0</v>
          </cell>
        </row>
        <row r="24">
          <cell r="C24">
            <v>23</v>
          </cell>
          <cell r="E24" t="str">
            <v>mesopelagic</v>
          </cell>
          <cell r="F24">
            <v>0</v>
          </cell>
          <cell r="H24">
            <v>0.87</v>
          </cell>
          <cell r="I24">
            <v>11.71</v>
          </cell>
          <cell r="J24">
            <v>0.8</v>
          </cell>
          <cell r="L24">
            <v>0</v>
          </cell>
          <cell r="M24">
            <v>0.2</v>
          </cell>
          <cell r="N24">
            <v>0</v>
          </cell>
        </row>
        <row r="25">
          <cell r="C25">
            <v>24</v>
          </cell>
          <cell r="E25" t="str">
            <v>sm flatfish</v>
          </cell>
          <cell r="F25">
            <v>0</v>
          </cell>
          <cell r="G25">
            <v>0.31892942400000002</v>
          </cell>
          <cell r="H25">
            <v>2.4500000000000002</v>
          </cell>
          <cell r="I25">
            <v>4.5199999999999996</v>
          </cell>
          <cell r="L25">
            <v>0</v>
          </cell>
          <cell r="M25">
            <v>0.2</v>
          </cell>
          <cell r="N25">
            <v>0</v>
          </cell>
        </row>
        <row r="26">
          <cell r="C26">
            <v>25</v>
          </cell>
          <cell r="E26" t="str">
            <v>lg flatfish</v>
          </cell>
          <cell r="F26">
            <v>0</v>
          </cell>
          <cell r="H26">
            <v>0.77500000000000002</v>
          </cell>
          <cell r="I26">
            <v>9.4600000000000009</v>
          </cell>
          <cell r="J26">
            <v>0.99</v>
          </cell>
          <cell r="L26">
            <v>0</v>
          </cell>
          <cell r="M26">
            <v>0.2</v>
          </cell>
          <cell r="N26">
            <v>0</v>
          </cell>
        </row>
        <row r="27">
          <cell r="C27">
            <v>26</v>
          </cell>
          <cell r="E27" t="str">
            <v>lg coastal sharks</v>
          </cell>
          <cell r="F27">
            <v>0</v>
          </cell>
          <cell r="G27">
            <v>0.14571944000000001</v>
          </cell>
          <cell r="H27">
            <v>0.43</v>
          </cell>
          <cell r="I27">
            <v>2.48</v>
          </cell>
          <cell r="L27">
            <v>0</v>
          </cell>
          <cell r="M27">
            <v>0.2</v>
          </cell>
          <cell r="N27">
            <v>0</v>
          </cell>
        </row>
        <row r="28">
          <cell r="C28">
            <v>27</v>
          </cell>
          <cell r="E28" t="str">
            <v>sm coastal sharks</v>
          </cell>
          <cell r="F28">
            <v>0</v>
          </cell>
          <cell r="G28">
            <v>1.3542665199999999</v>
          </cell>
          <cell r="H28">
            <v>1.04</v>
          </cell>
          <cell r="I28">
            <v>4.7</v>
          </cell>
          <cell r="L28">
            <v>0</v>
          </cell>
          <cell r="M28">
            <v>0.2</v>
          </cell>
          <cell r="N28">
            <v>0</v>
          </cell>
        </row>
        <row r="29">
          <cell r="C29">
            <v>28</v>
          </cell>
          <cell r="E29" t="str">
            <v>offshore sharks</v>
          </cell>
          <cell r="F29">
            <v>0</v>
          </cell>
          <cell r="G29">
            <v>7.2448E-4</v>
          </cell>
          <cell r="H29">
            <v>0.43</v>
          </cell>
          <cell r="I29">
            <v>2.48</v>
          </cell>
          <cell r="L29">
            <v>0</v>
          </cell>
          <cell r="M29">
            <v>0.2</v>
          </cell>
          <cell r="N29">
            <v>0</v>
          </cell>
        </row>
        <row r="30">
          <cell r="C30">
            <v>29</v>
          </cell>
          <cell r="E30" t="str">
            <v>reef invert feeder</v>
          </cell>
          <cell r="F30">
            <v>0</v>
          </cell>
          <cell r="G30">
            <v>0.92208059999999992</v>
          </cell>
          <cell r="H30">
            <v>2.4500000000000002</v>
          </cell>
          <cell r="I30">
            <v>9.67</v>
          </cell>
          <cell r="L30">
            <v>0</v>
          </cell>
          <cell r="M30">
            <v>0.2</v>
          </cell>
          <cell r="N30">
            <v>0</v>
          </cell>
        </row>
        <row r="31">
          <cell r="C31">
            <v>30</v>
          </cell>
          <cell r="E31" t="str">
            <v>reef piscivore</v>
          </cell>
          <cell r="F31">
            <v>0</v>
          </cell>
          <cell r="G31">
            <v>0.54690419999999995</v>
          </cell>
          <cell r="H31">
            <v>0.4</v>
          </cell>
          <cell r="I31">
            <v>10.210000000000001</v>
          </cell>
          <cell r="L31">
            <v>0</v>
          </cell>
          <cell r="M31">
            <v>0.2</v>
          </cell>
          <cell r="N31">
            <v>0</v>
          </cell>
        </row>
        <row r="32">
          <cell r="C32">
            <v>31</v>
          </cell>
          <cell r="E32" t="str">
            <v>sm pelagics</v>
          </cell>
          <cell r="F32">
            <v>0</v>
          </cell>
          <cell r="G32">
            <v>17.775261</v>
          </cell>
          <cell r="H32">
            <v>2.6</v>
          </cell>
          <cell r="I32">
            <v>25.54</v>
          </cell>
          <cell r="L32">
            <v>0</v>
          </cell>
          <cell r="M32">
            <v>0.2</v>
          </cell>
          <cell r="N32">
            <v>0</v>
          </cell>
        </row>
        <row r="33">
          <cell r="C33">
            <v>32</v>
          </cell>
          <cell r="E33" t="str">
            <v>lg pelagics</v>
          </cell>
          <cell r="F33">
            <v>0</v>
          </cell>
          <cell r="G33">
            <v>10.369647500000001</v>
          </cell>
          <cell r="H33">
            <v>0.7</v>
          </cell>
          <cell r="I33">
            <v>5.4</v>
          </cell>
          <cell r="L33">
            <v>0</v>
          </cell>
          <cell r="M33">
            <v>0.2</v>
          </cell>
          <cell r="N33">
            <v>0</v>
          </cell>
        </row>
        <row r="34">
          <cell r="C34">
            <v>33</v>
          </cell>
          <cell r="E34" t="str">
            <v>sm demersal</v>
          </cell>
          <cell r="F34">
            <v>0</v>
          </cell>
          <cell r="G34">
            <v>83.094239999999999</v>
          </cell>
          <cell r="H34">
            <v>1.58</v>
          </cell>
          <cell r="I34">
            <v>5.41</v>
          </cell>
          <cell r="L34">
            <v>0</v>
          </cell>
          <cell r="M34">
            <v>0.2</v>
          </cell>
          <cell r="N34">
            <v>0</v>
          </cell>
        </row>
        <row r="35">
          <cell r="C35">
            <v>34</v>
          </cell>
          <cell r="E35" t="str">
            <v>lg demersal</v>
          </cell>
          <cell r="F35">
            <v>0</v>
          </cell>
          <cell r="G35">
            <v>0.54513800000000001</v>
          </cell>
          <cell r="H35">
            <v>1.58</v>
          </cell>
          <cell r="I35">
            <v>3.67</v>
          </cell>
          <cell r="L35">
            <v>0</v>
          </cell>
          <cell r="M35">
            <v>0.2</v>
          </cell>
          <cell r="N35">
            <v>0</v>
          </cell>
        </row>
        <row r="36">
          <cell r="C36">
            <v>35</v>
          </cell>
          <cell r="E36" t="str">
            <v>sm squids</v>
          </cell>
          <cell r="F36">
            <v>0</v>
          </cell>
          <cell r="G36">
            <v>4.1040784392441747</v>
          </cell>
          <cell r="H36">
            <v>4.3</v>
          </cell>
          <cell r="I36">
            <v>10</v>
          </cell>
          <cell r="L36">
            <v>0</v>
          </cell>
          <cell r="M36">
            <v>0.2</v>
          </cell>
          <cell r="N36">
            <v>0</v>
          </cell>
        </row>
        <row r="37">
          <cell r="C37">
            <v>36</v>
          </cell>
          <cell r="E37" t="str">
            <v>blue crab</v>
          </cell>
          <cell r="F37">
            <v>0</v>
          </cell>
          <cell r="G37">
            <v>1.9287047039999998</v>
          </cell>
          <cell r="H37">
            <v>2.4</v>
          </cell>
          <cell r="I37">
            <v>8.5</v>
          </cell>
          <cell r="L37">
            <v>0</v>
          </cell>
          <cell r="M37">
            <v>0.2</v>
          </cell>
          <cell r="N37">
            <v>0</v>
          </cell>
        </row>
        <row r="38">
          <cell r="C38">
            <v>37</v>
          </cell>
          <cell r="E38" t="str">
            <v>suspension feeders</v>
          </cell>
          <cell r="F38">
            <v>0</v>
          </cell>
          <cell r="H38">
            <v>0.8</v>
          </cell>
          <cell r="I38">
            <v>9</v>
          </cell>
          <cell r="J38">
            <v>0.8</v>
          </cell>
          <cell r="L38">
            <v>0</v>
          </cell>
          <cell r="M38">
            <v>0.6</v>
          </cell>
          <cell r="N38">
            <v>0</v>
          </cell>
        </row>
        <row r="39">
          <cell r="C39">
            <v>38</v>
          </cell>
          <cell r="E39" t="str">
            <v>benthic infauna</v>
          </cell>
          <cell r="F39">
            <v>0</v>
          </cell>
          <cell r="H39">
            <v>12.5</v>
          </cell>
          <cell r="J39">
            <v>0.8</v>
          </cell>
          <cell r="K39">
            <v>0.5</v>
          </cell>
          <cell r="L39">
            <v>0</v>
          </cell>
          <cell r="M39">
            <v>0.5</v>
          </cell>
          <cell r="N39">
            <v>0</v>
          </cell>
        </row>
        <row r="40">
          <cell r="C40">
            <v>39</v>
          </cell>
          <cell r="E40" t="str">
            <v>bivalves</v>
          </cell>
          <cell r="F40">
            <v>0</v>
          </cell>
          <cell r="G40">
            <v>36.491088134483448</v>
          </cell>
          <cell r="H40">
            <v>2.2999999999999998</v>
          </cell>
          <cell r="I40">
            <v>23</v>
          </cell>
          <cell r="L40">
            <v>0</v>
          </cell>
          <cell r="M40">
            <v>0.5</v>
          </cell>
          <cell r="N40">
            <v>0</v>
          </cell>
        </row>
        <row r="41">
          <cell r="C41">
            <v>40</v>
          </cell>
          <cell r="E41" t="str">
            <v>benthic epifauna</v>
          </cell>
          <cell r="F41">
            <v>0</v>
          </cell>
          <cell r="G41">
            <v>38.472000000000001</v>
          </cell>
          <cell r="H41">
            <v>6.4</v>
          </cell>
          <cell r="I41">
            <v>7.4320000000000004</v>
          </cell>
          <cell r="L41">
            <v>0</v>
          </cell>
          <cell r="M41">
            <v>0.13</v>
          </cell>
          <cell r="N41">
            <v>0</v>
          </cell>
        </row>
        <row r="42">
          <cell r="C42">
            <v>41</v>
          </cell>
          <cell r="E42" t="str">
            <v>brown pelican</v>
          </cell>
          <cell r="F42">
            <v>0</v>
          </cell>
          <cell r="G42">
            <v>8.61E-4</v>
          </cell>
          <cell r="H42">
            <v>5.4</v>
          </cell>
          <cell r="I42">
            <v>80</v>
          </cell>
          <cell r="L42">
            <v>0</v>
          </cell>
          <cell r="M42">
            <v>0.2</v>
          </cell>
          <cell r="N42">
            <v>0</v>
          </cell>
        </row>
        <row r="43">
          <cell r="C43">
            <v>42</v>
          </cell>
          <cell r="E43" t="str">
            <v>terns</v>
          </cell>
          <cell r="F43">
            <v>0</v>
          </cell>
          <cell r="G43">
            <v>4.2164663785567803E-5</v>
          </cell>
          <cell r="H43">
            <v>5.4</v>
          </cell>
          <cell r="I43">
            <v>80</v>
          </cell>
          <cell r="L43">
            <v>0</v>
          </cell>
          <cell r="M43">
            <v>0.2</v>
          </cell>
          <cell r="N43">
            <v>0</v>
          </cell>
        </row>
        <row r="44">
          <cell r="C44">
            <v>43</v>
          </cell>
          <cell r="E44" t="str">
            <v>black skimmer</v>
          </cell>
          <cell r="F44">
            <v>0</v>
          </cell>
          <cell r="G44">
            <v>1.9599999999999999E-5</v>
          </cell>
          <cell r="H44">
            <v>5.4</v>
          </cell>
          <cell r="I44">
            <v>80</v>
          </cell>
          <cell r="L44">
            <v>0</v>
          </cell>
          <cell r="M44">
            <v>0.2</v>
          </cell>
          <cell r="N44">
            <v>0</v>
          </cell>
        </row>
        <row r="45">
          <cell r="C45">
            <v>44</v>
          </cell>
          <cell r="E45" t="str">
            <v>green sea turtle</v>
          </cell>
          <cell r="F45">
            <v>0</v>
          </cell>
          <cell r="G45">
            <v>2.004691935396622E-3</v>
          </cell>
          <cell r="H45">
            <v>0.192</v>
          </cell>
          <cell r="I45">
            <v>3.5</v>
          </cell>
          <cell r="L45">
            <v>0</v>
          </cell>
          <cell r="M45">
            <v>0.2</v>
          </cell>
          <cell r="N45">
            <v>0</v>
          </cell>
        </row>
        <row r="46">
          <cell r="C46">
            <v>45</v>
          </cell>
          <cell r="E46" t="str">
            <v>loggerhead sea turtle</v>
          </cell>
          <cell r="F46">
            <v>0</v>
          </cell>
          <cell r="G46">
            <v>9.8629594266290901E-5</v>
          </cell>
          <cell r="H46">
            <v>0.192</v>
          </cell>
          <cell r="I46">
            <v>3.5</v>
          </cell>
          <cell r="L46">
            <v>0</v>
          </cell>
          <cell r="M46">
            <v>0.2</v>
          </cell>
          <cell r="N46">
            <v>0</v>
          </cell>
        </row>
        <row r="47">
          <cell r="C47">
            <v>46</v>
          </cell>
          <cell r="E47" t="str">
            <v>Kemp Ridley's sea turtle</v>
          </cell>
          <cell r="F47">
            <v>0</v>
          </cell>
          <cell r="G47">
            <v>6.8775000000000005E-5</v>
          </cell>
          <cell r="H47">
            <v>0.192</v>
          </cell>
          <cell r="I47">
            <v>3.5</v>
          </cell>
          <cell r="L47">
            <v>0</v>
          </cell>
          <cell r="M47">
            <v>0.2</v>
          </cell>
          <cell r="N47">
            <v>0</v>
          </cell>
        </row>
        <row r="48">
          <cell r="C48">
            <v>47</v>
          </cell>
          <cell r="E48" t="str">
            <v>leatherback sea turtle</v>
          </cell>
          <cell r="F48">
            <v>0</v>
          </cell>
          <cell r="G48">
            <v>7.6199999999999998E-4</v>
          </cell>
          <cell r="H48">
            <v>0.192</v>
          </cell>
          <cell r="I48">
            <v>3.5</v>
          </cell>
          <cell r="L48">
            <v>0</v>
          </cell>
          <cell r="M48">
            <v>0.2</v>
          </cell>
          <cell r="N48">
            <v>0</v>
          </cell>
        </row>
        <row r="49">
          <cell r="C49">
            <v>48</v>
          </cell>
          <cell r="E49" t="str">
            <v>dolphins</v>
          </cell>
          <cell r="F49">
            <v>0</v>
          </cell>
          <cell r="G49">
            <v>4.0699558518767665E-2</v>
          </cell>
          <cell r="H49">
            <v>0.1</v>
          </cell>
          <cell r="I49">
            <v>24.98</v>
          </cell>
          <cell r="L49">
            <v>0</v>
          </cell>
          <cell r="M49">
            <v>0.2</v>
          </cell>
          <cell r="N49">
            <v>0</v>
          </cell>
        </row>
        <row r="50">
          <cell r="C50">
            <v>49</v>
          </cell>
          <cell r="E50" t="str">
            <v>odontocetes</v>
          </cell>
          <cell r="F50">
            <v>0</v>
          </cell>
          <cell r="G50">
            <v>8.7754359033881532E-4</v>
          </cell>
          <cell r="H50">
            <v>4.7E-2</v>
          </cell>
          <cell r="I50">
            <v>6.609</v>
          </cell>
          <cell r="L50">
            <v>0</v>
          </cell>
          <cell r="M50">
            <v>0.2</v>
          </cell>
          <cell r="N50">
            <v>0</v>
          </cell>
        </row>
        <row r="51">
          <cell r="C51">
            <v>50</v>
          </cell>
          <cell r="E51" t="str">
            <v>baleen whales</v>
          </cell>
          <cell r="F51">
            <v>0</v>
          </cell>
          <cell r="G51">
            <v>3.3884373758434226E-5</v>
          </cell>
          <cell r="H51">
            <v>3.7999999999999999E-2</v>
          </cell>
          <cell r="I51">
            <v>7.57</v>
          </cell>
          <cell r="L51">
            <v>0</v>
          </cell>
          <cell r="M51">
            <v>0.2</v>
          </cell>
          <cell r="N51">
            <v>0</v>
          </cell>
        </row>
        <row r="52">
          <cell r="C52">
            <v>51</v>
          </cell>
          <cell r="E52" t="str">
            <v>pelagic detritus</v>
          </cell>
          <cell r="F52">
            <v>2</v>
          </cell>
          <cell r="G52">
            <v>5</v>
          </cell>
          <cell r="L52">
            <v>0</v>
          </cell>
          <cell r="N52">
            <v>0</v>
          </cell>
        </row>
        <row r="53">
          <cell r="C53">
            <v>52</v>
          </cell>
          <cell r="E53" t="str">
            <v>fish eggs</v>
          </cell>
          <cell r="F53">
            <v>2</v>
          </cell>
          <cell r="G53">
            <v>1.9779600000000001E-2</v>
          </cell>
          <cell r="L53">
            <v>0</v>
          </cell>
          <cell r="N53">
            <v>0</v>
          </cell>
        </row>
        <row r="54">
          <cell r="C54">
            <v>53</v>
          </cell>
          <cell r="E54" t="str">
            <v>offal</v>
          </cell>
          <cell r="F54">
            <v>2</v>
          </cell>
          <cell r="G54">
            <v>0.05</v>
          </cell>
          <cell r="L54">
            <v>0</v>
          </cell>
          <cell r="N54">
            <v>0</v>
          </cell>
        </row>
        <row r="55">
          <cell r="C55">
            <v>54</v>
          </cell>
          <cell r="E55" t="str">
            <v>benthic detritus</v>
          </cell>
          <cell r="F55">
            <v>2</v>
          </cell>
          <cell r="G55">
            <v>15</v>
          </cell>
          <cell r="L55">
            <v>0</v>
          </cell>
          <cell r="N55">
            <v>0</v>
          </cell>
        </row>
        <row r="56">
          <cell r="C56">
            <v>55</v>
          </cell>
          <cell r="E56" t="str">
            <v>recreational fisheries</v>
          </cell>
          <cell r="F56">
            <v>3</v>
          </cell>
        </row>
        <row r="57">
          <cell r="C57">
            <v>56</v>
          </cell>
          <cell r="E57" t="str">
            <v>commercial fisheries</v>
          </cell>
          <cell r="F57">
            <v>3</v>
          </cell>
        </row>
      </sheetData>
      <sheetData sheetId="2">
        <row r="1">
          <cell r="A1" t="str">
            <v>group</v>
          </cell>
        </row>
      </sheetData>
      <sheetData sheetId="3" refreshError="1"/>
      <sheetData sheetId="4">
        <row r="1">
          <cell r="A1" t="str">
            <v>Retained Fisheries</v>
          </cell>
        </row>
      </sheetData>
      <sheetData sheetId="5">
        <row r="1">
          <cell r="A1" t="str">
            <v>Fisheries Discards</v>
          </cell>
        </row>
      </sheetData>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3" Type="http://schemas.openxmlformats.org/officeDocument/2006/relationships/hyperlink" Target="http://www.fishbase.org/" TargetMode="External"/><Relationship Id="rId2" Type="http://schemas.openxmlformats.org/officeDocument/2006/relationships/hyperlink" Target="http://www.fishbase.org/" TargetMode="External"/><Relationship Id="rId1" Type="http://schemas.openxmlformats.org/officeDocument/2006/relationships/hyperlink" Target="http://www.fishbase.org/" TargetMode="External"/><Relationship Id="rId4" Type="http://schemas.openxmlformats.org/officeDocument/2006/relationships/hyperlink" Target="http://www.fishbase.org/"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hyperlink" Target="../../Oceanography%20ms/GoMex%20Model/Model%20dev%20ms/www.nmfs.noaa.gov/pr/species/mammals/cetaceans/spotteddolphin_pantropical.htm"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st.nmfs.noaa.gov/st1/recreational/MRFSS_Estimate_Data/Atlantic_Gulf/CSV/" TargetMode="External"/><Relationship Id="rId3" Type="http://schemas.openxmlformats.org/officeDocument/2006/relationships/hyperlink" Target="http://oceancolor.gsfc.nasa.gov/" TargetMode="External"/><Relationship Id="rId7" Type="http://schemas.openxmlformats.org/officeDocument/2006/relationships/hyperlink" Target="http://www.st.nmfs.noaa.gov/commercial-fisheries/commercial-landings/monthly-landings/index" TargetMode="External"/><Relationship Id="rId2" Type="http://schemas.openxmlformats.org/officeDocument/2006/relationships/hyperlink" Target="http://oceancolor.gsfc.nasa.gov/" TargetMode="External"/><Relationship Id="rId1" Type="http://schemas.openxmlformats.org/officeDocument/2006/relationships/hyperlink" Target="http://www.nmfs.noaa.gov/pr/species/mammals/cetaceans/spotteddolphin_pantropical.htm" TargetMode="External"/><Relationship Id="rId6" Type="http://schemas.openxmlformats.org/officeDocument/2006/relationships/hyperlink" Target="http://seamap.gsmfc.org/" TargetMode="External"/><Relationship Id="rId5" Type="http://schemas.openxmlformats.org/officeDocument/2006/relationships/hyperlink" Target="http://seamap.gsmfc.org/" TargetMode="External"/><Relationship Id="rId10" Type="http://schemas.openxmlformats.org/officeDocument/2006/relationships/printerSettings" Target="../printerSettings/printerSettings2.bin"/><Relationship Id="rId4" Type="http://schemas.openxmlformats.org/officeDocument/2006/relationships/hyperlink" Target="http://www.nauticalcharts.noaa.gov/csdl/ctp/encdirect_new.htm" TargetMode="External"/><Relationship Id="rId9" Type="http://schemas.openxmlformats.org/officeDocument/2006/relationships/hyperlink" Target="http://www.st.nmfs.noaa.gov/st1/recreational/MRIP_Estimate_Data/" TargetMode="Externa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allaboutbirds.org/guide/" TargetMode="External"/><Relationship Id="rId1" Type="http://schemas.openxmlformats.org/officeDocument/2006/relationships/hyperlink" Target="http://www.allaboutbirds.org/guide/"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26"/>
  <sheetViews>
    <sheetView workbookViewId="0">
      <selection activeCell="B9" sqref="B9:T9"/>
    </sheetView>
  </sheetViews>
  <sheetFormatPr defaultRowHeight="15" x14ac:dyDescent="0.25"/>
  <cols>
    <col min="1" max="1" width="9.42578125" style="1" customWidth="1"/>
    <col min="16" max="16" width="9" customWidth="1"/>
    <col min="17" max="17" width="6" hidden="1" customWidth="1"/>
    <col min="18" max="18" width="9.140625" hidden="1" customWidth="1"/>
    <col min="19" max="19" width="3.140625" hidden="1" customWidth="1"/>
    <col min="20" max="20" width="9.140625" hidden="1" customWidth="1"/>
  </cols>
  <sheetData>
    <row r="1" spans="1:55" ht="22.5" customHeight="1" thickBot="1" x14ac:dyDescent="0.3">
      <c r="A1" s="398" t="s">
        <v>3003</v>
      </c>
      <c r="B1" s="22"/>
      <c r="C1" s="22"/>
      <c r="D1" s="22"/>
      <c r="E1" s="22"/>
      <c r="F1" s="22"/>
      <c r="G1" s="22"/>
      <c r="H1" s="22"/>
      <c r="I1" s="22"/>
      <c r="J1" s="22"/>
      <c r="K1" s="22"/>
      <c r="L1" s="22"/>
      <c r="M1" s="22"/>
      <c r="N1" s="22"/>
      <c r="O1" s="22"/>
      <c r="P1" s="22"/>
      <c r="Q1" s="22"/>
      <c r="R1" s="22"/>
      <c r="S1" s="22"/>
      <c r="T1" s="22"/>
    </row>
    <row r="2" spans="1:55" ht="15.75" thickBot="1" x14ac:dyDescent="0.3">
      <c r="A2" s="395" t="s">
        <v>2961</v>
      </c>
      <c r="B2" s="159" t="s">
        <v>2995</v>
      </c>
      <c r="C2" s="159"/>
      <c r="D2" s="159"/>
      <c r="E2" s="159"/>
      <c r="F2" s="159"/>
      <c r="G2" s="159"/>
      <c r="H2" s="159"/>
      <c r="I2" s="159"/>
      <c r="J2" s="159"/>
      <c r="K2" s="159"/>
      <c r="L2" s="159"/>
      <c r="M2" s="159"/>
      <c r="N2" s="159"/>
      <c r="O2" s="159"/>
      <c r="P2" s="159"/>
      <c r="Q2" s="159"/>
      <c r="R2" s="159"/>
      <c r="S2" s="159"/>
      <c r="T2" s="159"/>
      <c r="U2" s="393"/>
      <c r="V2" s="393"/>
      <c r="W2" s="393"/>
      <c r="X2" s="393"/>
      <c r="Y2" s="393"/>
      <c r="Z2" s="393"/>
      <c r="AA2" s="393"/>
      <c r="AB2" s="393"/>
      <c r="AC2" s="393"/>
      <c r="AD2" s="393"/>
      <c r="AE2" s="393"/>
      <c r="AF2" s="393"/>
      <c r="AG2" s="393"/>
      <c r="AH2" s="393"/>
      <c r="AI2" s="393"/>
      <c r="AJ2" s="393"/>
      <c r="AK2" s="393"/>
      <c r="AL2" s="393"/>
      <c r="AM2" s="393"/>
      <c r="AN2" s="393"/>
      <c r="AO2" s="393"/>
      <c r="AP2" s="393"/>
      <c r="AQ2" s="393"/>
      <c r="AR2" s="393"/>
      <c r="AS2" s="393"/>
      <c r="AT2" s="393"/>
      <c r="AU2" s="393"/>
      <c r="AV2" s="393"/>
      <c r="AW2" s="393"/>
      <c r="AX2" s="393"/>
      <c r="AY2" s="393"/>
      <c r="AZ2" s="393"/>
      <c r="BA2" s="393"/>
      <c r="BB2" s="393"/>
      <c r="BC2" s="393"/>
    </row>
    <row r="3" spans="1:55" ht="23.25" customHeight="1" x14ac:dyDescent="0.25">
      <c r="A3" s="396" t="s">
        <v>2962</v>
      </c>
      <c r="B3" s="428" t="s">
        <v>2985</v>
      </c>
      <c r="C3" s="428"/>
      <c r="D3" s="428"/>
      <c r="E3" s="428"/>
      <c r="F3" s="428"/>
      <c r="G3" s="428"/>
      <c r="H3" s="428"/>
      <c r="I3" s="428"/>
      <c r="J3" s="428"/>
      <c r="K3" s="428"/>
      <c r="L3" s="428"/>
      <c r="M3" s="428"/>
      <c r="N3" s="428"/>
      <c r="O3" s="428"/>
      <c r="P3" s="428"/>
      <c r="Q3" s="428"/>
      <c r="R3" s="428"/>
      <c r="S3" s="428"/>
      <c r="T3" s="428"/>
      <c r="U3" s="394"/>
      <c r="W3" s="394"/>
      <c r="X3" s="394"/>
      <c r="Y3" s="394"/>
      <c r="Z3" s="394"/>
      <c r="AA3" s="394"/>
      <c r="AB3" s="394"/>
      <c r="AC3" s="394"/>
      <c r="AD3" s="394"/>
      <c r="AE3" s="394"/>
      <c r="AF3" s="394"/>
      <c r="AG3" s="394"/>
      <c r="AH3" s="394"/>
      <c r="AI3" s="394"/>
      <c r="AJ3" s="394"/>
      <c r="AK3" s="394"/>
      <c r="AL3" s="394"/>
      <c r="AM3" s="394"/>
      <c r="AN3" s="394"/>
      <c r="AO3" s="394"/>
      <c r="AP3" s="394"/>
      <c r="AQ3" s="394"/>
      <c r="AR3" s="394"/>
      <c r="AS3" s="394"/>
      <c r="AT3" s="394"/>
      <c r="AU3" s="394"/>
      <c r="AV3" s="394"/>
      <c r="AW3" s="394"/>
      <c r="AX3" s="394"/>
      <c r="AY3" s="394"/>
      <c r="AZ3" s="394"/>
      <c r="BA3" s="394"/>
      <c r="BB3" s="394"/>
      <c r="BC3" s="394"/>
    </row>
    <row r="4" spans="1:55" ht="18.75" customHeight="1" x14ac:dyDescent="0.25">
      <c r="A4" s="396" t="s">
        <v>2963</v>
      </c>
      <c r="B4" s="429" t="s">
        <v>2986</v>
      </c>
      <c r="C4" s="429"/>
      <c r="D4" s="429"/>
      <c r="E4" s="429"/>
      <c r="F4" s="429"/>
      <c r="G4" s="429"/>
      <c r="H4" s="429"/>
      <c r="I4" s="429"/>
      <c r="J4" s="429"/>
      <c r="K4" s="429"/>
      <c r="L4" s="429"/>
      <c r="M4" s="429"/>
      <c r="N4" s="429"/>
      <c r="O4" s="429"/>
      <c r="P4" s="429"/>
      <c r="Q4" s="429"/>
      <c r="R4" s="429"/>
      <c r="S4" s="429"/>
      <c r="T4" s="429"/>
      <c r="U4" s="394"/>
      <c r="W4" s="394"/>
      <c r="X4" s="394"/>
      <c r="Y4" s="394"/>
      <c r="Z4" s="394"/>
      <c r="AA4" s="394"/>
      <c r="AB4" s="394"/>
      <c r="AC4" s="394"/>
      <c r="AD4" s="394"/>
      <c r="AE4" s="394"/>
      <c r="AF4" s="394"/>
      <c r="AG4" s="394"/>
      <c r="AH4" s="394"/>
      <c r="AI4" s="394"/>
      <c r="AJ4" s="394"/>
      <c r="AK4" s="394"/>
      <c r="AL4" s="394"/>
      <c r="AM4" s="394"/>
      <c r="AN4" s="394"/>
      <c r="AO4" s="394"/>
      <c r="AP4" s="394"/>
      <c r="AQ4" s="394"/>
      <c r="AR4" s="394"/>
      <c r="AS4" s="394"/>
      <c r="AT4" s="394"/>
      <c r="AU4" s="394"/>
      <c r="AV4" s="394"/>
      <c r="AW4" s="394"/>
      <c r="AX4" s="394"/>
      <c r="AY4" s="394"/>
      <c r="AZ4" s="394"/>
      <c r="BA4" s="394"/>
      <c r="BB4" s="394"/>
      <c r="BC4" s="394"/>
    </row>
    <row r="5" spans="1:55" ht="18.75" customHeight="1" x14ac:dyDescent="0.25">
      <c r="A5" s="396" t="s">
        <v>2965</v>
      </c>
      <c r="B5" s="428" t="s">
        <v>3004</v>
      </c>
      <c r="C5" s="428"/>
      <c r="D5" s="428"/>
      <c r="E5" s="428"/>
      <c r="F5" s="428"/>
      <c r="G5" s="428"/>
      <c r="H5" s="428"/>
      <c r="I5" s="428"/>
      <c r="J5" s="428"/>
      <c r="K5" s="428"/>
      <c r="L5" s="428"/>
      <c r="M5" s="428"/>
      <c r="N5" s="428"/>
      <c r="O5" s="428"/>
      <c r="P5" s="428"/>
      <c r="Q5" s="428"/>
      <c r="R5" s="428"/>
      <c r="S5" s="428"/>
      <c r="T5" s="428"/>
      <c r="U5" s="394"/>
      <c r="V5" s="394"/>
      <c r="W5" s="394"/>
      <c r="X5" s="394"/>
      <c r="Y5" s="394"/>
      <c r="Z5" s="394"/>
      <c r="AA5" s="394"/>
      <c r="AB5" s="394"/>
      <c r="AC5" s="394"/>
      <c r="AD5" s="394"/>
      <c r="AE5" s="394"/>
      <c r="AF5" s="394"/>
      <c r="AG5" s="394"/>
      <c r="AH5" s="394"/>
      <c r="AI5" s="394"/>
      <c r="AJ5" s="394"/>
      <c r="AK5" s="394"/>
      <c r="AL5" s="394"/>
      <c r="AM5" s="394"/>
      <c r="AN5" s="394"/>
      <c r="AO5" s="394"/>
      <c r="AP5" s="394"/>
      <c r="AQ5" s="394"/>
      <c r="AR5" s="394"/>
      <c r="AS5" s="394"/>
      <c r="AT5" s="394"/>
      <c r="AU5" s="394"/>
      <c r="AV5" s="394"/>
      <c r="AW5" s="394"/>
      <c r="AX5" s="394"/>
      <c r="AY5" s="394"/>
      <c r="AZ5" s="394"/>
      <c r="BA5" s="394"/>
      <c r="BB5" s="394"/>
      <c r="BC5" s="394"/>
    </row>
    <row r="6" spans="1:55" ht="18.75" customHeight="1" x14ac:dyDescent="0.25">
      <c r="A6" s="396" t="s">
        <v>2964</v>
      </c>
      <c r="B6" s="428" t="s">
        <v>3064</v>
      </c>
      <c r="C6" s="428"/>
      <c r="D6" s="428"/>
      <c r="E6" s="428"/>
      <c r="F6" s="428"/>
      <c r="G6" s="428"/>
      <c r="H6" s="428"/>
      <c r="I6" s="428"/>
      <c r="J6" s="428"/>
      <c r="K6" s="428"/>
      <c r="L6" s="428"/>
      <c r="M6" s="428"/>
      <c r="N6" s="428"/>
      <c r="O6" s="428"/>
      <c r="P6" s="428"/>
      <c r="Q6" s="428"/>
      <c r="R6" s="428"/>
      <c r="S6" s="428"/>
      <c r="T6" s="428"/>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4"/>
      <c r="AY6" s="394"/>
      <c r="AZ6" s="394"/>
      <c r="BA6" s="394"/>
      <c r="BB6" s="394"/>
      <c r="BC6" s="394"/>
    </row>
    <row r="7" spans="1:55" ht="24" customHeight="1" x14ac:dyDescent="0.25">
      <c r="A7" s="396" t="s">
        <v>2966</v>
      </c>
      <c r="B7" s="428" t="s">
        <v>3000</v>
      </c>
      <c r="C7" s="428"/>
      <c r="D7" s="428"/>
      <c r="E7" s="428"/>
      <c r="F7" s="428"/>
      <c r="G7" s="428"/>
      <c r="H7" s="428"/>
      <c r="I7" s="428"/>
      <c r="J7" s="428"/>
      <c r="K7" s="428"/>
      <c r="L7" s="428"/>
      <c r="M7" s="428"/>
      <c r="N7" s="428"/>
      <c r="O7" s="428"/>
      <c r="P7" s="428"/>
      <c r="Q7" s="428"/>
      <c r="R7" s="428"/>
      <c r="S7" s="428"/>
      <c r="T7" s="428"/>
      <c r="U7" s="394"/>
      <c r="V7" s="394"/>
      <c r="W7" s="394"/>
      <c r="X7" s="394"/>
      <c r="Y7" s="394"/>
      <c r="Z7" s="394"/>
      <c r="AA7" s="394"/>
      <c r="AB7" s="394"/>
      <c r="AC7" s="394"/>
      <c r="AD7" s="394"/>
      <c r="AE7" s="394"/>
      <c r="AF7" s="394"/>
      <c r="AG7" s="394"/>
      <c r="AH7" s="394"/>
      <c r="AI7" s="394"/>
      <c r="AJ7" s="394"/>
      <c r="AK7" s="394"/>
      <c r="AL7" s="394"/>
      <c r="AM7" s="394"/>
      <c r="AN7" s="394"/>
      <c r="AO7" s="394"/>
      <c r="AP7" s="394"/>
      <c r="AQ7" s="394"/>
      <c r="AR7" s="394"/>
      <c r="AS7" s="394"/>
      <c r="AT7" s="394"/>
      <c r="AU7" s="394"/>
      <c r="AV7" s="394"/>
      <c r="AW7" s="394"/>
      <c r="AX7" s="394"/>
      <c r="AY7" s="394"/>
      <c r="AZ7" s="394"/>
      <c r="BA7" s="394"/>
      <c r="BB7" s="394"/>
      <c r="BC7" s="394"/>
    </row>
    <row r="8" spans="1:55" ht="18.75" customHeight="1" x14ac:dyDescent="0.25">
      <c r="A8" s="396" t="s">
        <v>2967</v>
      </c>
      <c r="B8" s="429" t="s">
        <v>2989</v>
      </c>
      <c r="C8" s="429"/>
      <c r="D8" s="429"/>
      <c r="E8" s="429"/>
      <c r="F8" s="429"/>
      <c r="G8" s="429"/>
      <c r="H8" s="429"/>
      <c r="I8" s="429"/>
      <c r="J8" s="429"/>
      <c r="K8" s="429"/>
      <c r="L8" s="429"/>
      <c r="M8" s="429"/>
      <c r="N8" s="429"/>
      <c r="O8" s="429"/>
      <c r="P8" s="429"/>
      <c r="Q8" s="429"/>
      <c r="R8" s="429"/>
      <c r="S8" s="429"/>
      <c r="T8" s="429"/>
      <c r="U8" s="394"/>
      <c r="V8" s="394"/>
      <c r="W8" s="394"/>
      <c r="X8" s="394"/>
      <c r="Y8" s="394"/>
      <c r="Z8" s="394"/>
      <c r="AA8" s="394"/>
      <c r="AB8" s="394"/>
      <c r="AC8" s="394"/>
      <c r="AD8" s="394"/>
      <c r="AE8" s="394"/>
      <c r="AF8" s="394"/>
      <c r="AG8" s="394"/>
      <c r="AH8" s="394"/>
      <c r="AI8" s="394"/>
      <c r="AJ8" s="394"/>
      <c r="AK8" s="394"/>
      <c r="AL8" s="394"/>
      <c r="AM8" s="394"/>
      <c r="AN8" s="394"/>
      <c r="AO8" s="394"/>
      <c r="AP8" s="394"/>
      <c r="AQ8" s="394"/>
      <c r="AR8" s="394"/>
      <c r="AS8" s="394"/>
      <c r="AT8" s="394"/>
      <c r="AU8" s="394"/>
      <c r="AV8" s="394"/>
      <c r="AW8" s="394"/>
      <c r="AX8" s="394"/>
      <c r="AY8" s="394"/>
      <c r="AZ8" s="394"/>
      <c r="BA8" s="394"/>
      <c r="BB8" s="394"/>
      <c r="BC8" s="394"/>
    </row>
    <row r="9" spans="1:55" ht="18.75" customHeight="1" x14ac:dyDescent="0.25">
      <c r="A9" s="396" t="s">
        <v>2968</v>
      </c>
      <c r="B9" s="428" t="s">
        <v>3006</v>
      </c>
      <c r="C9" s="428"/>
      <c r="D9" s="428"/>
      <c r="E9" s="428"/>
      <c r="F9" s="428"/>
      <c r="G9" s="428"/>
      <c r="H9" s="428"/>
      <c r="I9" s="428"/>
      <c r="J9" s="428"/>
      <c r="K9" s="428"/>
      <c r="L9" s="428"/>
      <c r="M9" s="428"/>
      <c r="N9" s="428"/>
      <c r="O9" s="428"/>
      <c r="P9" s="428"/>
      <c r="Q9" s="428"/>
      <c r="R9" s="428"/>
      <c r="S9" s="428"/>
      <c r="T9" s="428"/>
      <c r="U9" s="394"/>
      <c r="V9" s="394"/>
      <c r="W9" s="394"/>
      <c r="X9" s="394"/>
      <c r="Y9" s="394"/>
      <c r="Z9" s="394"/>
      <c r="AA9" s="394"/>
      <c r="AB9" s="394"/>
      <c r="AC9" s="394"/>
      <c r="AD9" s="394"/>
      <c r="AE9" s="394"/>
      <c r="AF9" s="394"/>
      <c r="AG9" s="394"/>
      <c r="AH9" s="394"/>
      <c r="AI9" s="394"/>
      <c r="AJ9" s="394"/>
      <c r="AK9" s="394"/>
      <c r="AL9" s="394"/>
      <c r="AM9" s="394"/>
      <c r="AN9" s="394"/>
      <c r="AO9" s="394"/>
      <c r="AP9" s="394"/>
      <c r="AQ9" s="394"/>
      <c r="AR9" s="394"/>
      <c r="AS9" s="394"/>
      <c r="AT9" s="394"/>
      <c r="AU9" s="394"/>
      <c r="AV9" s="394"/>
      <c r="AW9" s="394"/>
      <c r="AX9" s="394"/>
      <c r="AY9" s="394"/>
      <c r="AZ9" s="394"/>
      <c r="BA9" s="394"/>
      <c r="BB9" s="394"/>
      <c r="BC9" s="394"/>
    </row>
    <row r="10" spans="1:55" ht="18.75" customHeight="1" x14ac:dyDescent="0.25">
      <c r="A10" s="396" t="s">
        <v>2969</v>
      </c>
      <c r="B10" s="432" t="s">
        <v>2987</v>
      </c>
      <c r="C10" s="432"/>
      <c r="D10" s="432"/>
      <c r="E10" s="432"/>
      <c r="F10" s="432"/>
      <c r="G10" s="432"/>
      <c r="H10" s="432"/>
      <c r="I10" s="432"/>
      <c r="J10" s="432"/>
      <c r="K10" s="432"/>
      <c r="L10" s="432"/>
      <c r="M10" s="432"/>
      <c r="N10" s="432"/>
      <c r="O10" s="432"/>
      <c r="P10" s="432"/>
      <c r="Q10" s="432"/>
      <c r="R10" s="432"/>
      <c r="S10" s="432"/>
      <c r="T10" s="432"/>
      <c r="U10" s="394"/>
      <c r="V10" s="394"/>
      <c r="W10" s="394"/>
      <c r="X10" s="394"/>
      <c r="Y10" s="394"/>
      <c r="Z10" s="394"/>
      <c r="AA10" s="394"/>
      <c r="AB10" s="394"/>
      <c r="AC10" s="394"/>
      <c r="AD10" s="394"/>
      <c r="AE10" s="394"/>
      <c r="AF10" s="394"/>
      <c r="AG10" s="394"/>
      <c r="AH10" s="394"/>
      <c r="AI10" s="394"/>
      <c r="AJ10" s="394"/>
      <c r="AK10" s="394"/>
      <c r="AL10" s="394"/>
      <c r="AM10" s="394"/>
      <c r="AN10" s="394"/>
      <c r="AO10" s="394"/>
      <c r="AP10" s="394"/>
      <c r="AQ10" s="394"/>
      <c r="AR10" s="394"/>
      <c r="AS10" s="394"/>
      <c r="AT10" s="394"/>
      <c r="AU10" s="394"/>
      <c r="AV10" s="394"/>
      <c r="AW10" s="394"/>
      <c r="AX10" s="394"/>
      <c r="AY10" s="394"/>
      <c r="AZ10" s="394"/>
      <c r="BA10" s="394"/>
      <c r="BB10" s="394"/>
      <c r="BC10" s="394"/>
    </row>
    <row r="11" spans="1:55" ht="18.75" customHeight="1" x14ac:dyDescent="0.25">
      <c r="A11" s="396" t="s">
        <v>2970</v>
      </c>
      <c r="B11" s="428" t="s">
        <v>3005</v>
      </c>
      <c r="C11" s="428"/>
      <c r="D11" s="428"/>
      <c r="E11" s="428"/>
      <c r="F11" s="428"/>
      <c r="G11" s="428"/>
      <c r="H11" s="428"/>
      <c r="I11" s="428"/>
      <c r="J11" s="428"/>
      <c r="K11" s="428"/>
      <c r="L11" s="428"/>
      <c r="M11" s="428"/>
      <c r="N11" s="428"/>
      <c r="O11" s="428"/>
      <c r="P11" s="428"/>
      <c r="Q11" s="428"/>
      <c r="R11" s="428"/>
      <c r="S11" s="428"/>
      <c r="T11" s="428"/>
      <c r="U11" s="394"/>
      <c r="V11" s="394"/>
      <c r="W11" s="394"/>
      <c r="X11" s="394"/>
      <c r="Y11" s="394"/>
      <c r="Z11" s="394"/>
      <c r="AA11" s="394"/>
      <c r="AB11" s="394"/>
      <c r="AC11" s="394"/>
      <c r="AD11" s="394"/>
      <c r="AE11" s="394"/>
      <c r="AF11" s="394"/>
      <c r="AG11" s="394"/>
      <c r="AH11" s="394"/>
      <c r="AI11" s="394"/>
      <c r="AJ11" s="394"/>
      <c r="AK11" s="394"/>
      <c r="AL11" s="394"/>
      <c r="AM11" s="394"/>
      <c r="AN11" s="394"/>
      <c r="AO11" s="394"/>
      <c r="AP11" s="394"/>
      <c r="AQ11" s="394"/>
      <c r="AR11" s="394"/>
      <c r="AS11" s="394"/>
      <c r="AT11" s="394"/>
      <c r="AU11" s="394"/>
      <c r="AV11" s="394"/>
      <c r="AW11" s="394"/>
      <c r="AX11" s="394"/>
      <c r="AY11" s="394"/>
      <c r="AZ11" s="394"/>
      <c r="BA11" s="394"/>
      <c r="BB11" s="394"/>
      <c r="BC11" s="394"/>
    </row>
    <row r="12" spans="1:55" ht="18.75" customHeight="1" x14ac:dyDescent="0.25">
      <c r="A12" s="396" t="s">
        <v>2971</v>
      </c>
      <c r="B12" s="431" t="s">
        <v>2988</v>
      </c>
      <c r="C12" s="431"/>
      <c r="D12" s="431"/>
      <c r="E12" s="431"/>
      <c r="F12" s="431"/>
      <c r="G12" s="431"/>
      <c r="H12" s="431"/>
      <c r="I12" s="431"/>
      <c r="J12" s="431"/>
      <c r="K12" s="431"/>
      <c r="L12" s="431"/>
      <c r="M12" s="431"/>
      <c r="N12" s="431"/>
      <c r="O12" s="431"/>
      <c r="P12" s="431"/>
      <c r="Q12" s="431"/>
      <c r="R12" s="431"/>
      <c r="S12" s="431"/>
      <c r="T12" s="431"/>
      <c r="U12" s="380"/>
      <c r="V12" s="380"/>
      <c r="W12" s="380"/>
      <c r="X12" s="380"/>
      <c r="Y12" s="380"/>
      <c r="Z12" s="380"/>
      <c r="AA12" s="380"/>
      <c r="AB12" s="380"/>
      <c r="AC12" s="380"/>
      <c r="AD12" s="380"/>
      <c r="AE12" s="380"/>
      <c r="AF12" s="380"/>
      <c r="AG12" s="380"/>
      <c r="AH12" s="380"/>
      <c r="AI12" s="380"/>
      <c r="AJ12" s="380"/>
      <c r="AK12" s="380"/>
      <c r="AL12" s="380"/>
      <c r="AM12" s="380"/>
      <c r="AN12" s="380"/>
      <c r="AO12" s="380"/>
      <c r="AP12" s="380"/>
      <c r="AQ12" s="380"/>
      <c r="AR12" s="380"/>
      <c r="AS12" s="380"/>
      <c r="AT12" s="380"/>
      <c r="AU12" s="380"/>
      <c r="AV12" s="380"/>
      <c r="AW12" s="380"/>
      <c r="AX12" s="380"/>
      <c r="AY12" s="380"/>
      <c r="AZ12" s="380"/>
      <c r="BA12" s="380"/>
      <c r="BB12" s="380"/>
      <c r="BC12" s="380"/>
    </row>
    <row r="13" spans="1:55" ht="18.75" customHeight="1" x14ac:dyDescent="0.25">
      <c r="A13" s="396" t="s">
        <v>2972</v>
      </c>
      <c r="B13" s="429" t="s">
        <v>2999</v>
      </c>
      <c r="C13" s="429"/>
      <c r="D13" s="429"/>
      <c r="E13" s="429"/>
      <c r="F13" s="429"/>
      <c r="G13" s="429"/>
      <c r="H13" s="429"/>
      <c r="I13" s="429"/>
      <c r="J13" s="429"/>
      <c r="K13" s="429"/>
      <c r="L13" s="429"/>
      <c r="M13" s="429"/>
      <c r="N13" s="429"/>
      <c r="O13" s="429"/>
      <c r="P13" s="429"/>
      <c r="Q13" s="429"/>
      <c r="R13" s="429"/>
      <c r="S13" s="429"/>
      <c r="T13" s="429"/>
      <c r="U13" s="394"/>
      <c r="V13" s="394"/>
      <c r="W13" s="394"/>
      <c r="X13" s="394"/>
      <c r="Y13" s="394"/>
      <c r="Z13" s="394"/>
      <c r="AA13" s="394"/>
      <c r="AB13" s="394"/>
      <c r="AC13" s="394"/>
      <c r="AD13" s="394"/>
      <c r="AE13" s="394"/>
      <c r="AF13" s="394"/>
      <c r="AG13" s="394"/>
      <c r="AH13" s="394"/>
      <c r="AI13" s="394"/>
      <c r="AJ13" s="394"/>
      <c r="AK13" s="394"/>
      <c r="AL13" s="394"/>
      <c r="AM13" s="394"/>
      <c r="AN13" s="394"/>
      <c r="AO13" s="394"/>
      <c r="AP13" s="394"/>
      <c r="AQ13" s="394"/>
      <c r="AR13" s="394"/>
      <c r="AS13" s="394"/>
      <c r="AT13" s="394"/>
      <c r="AU13" s="394"/>
      <c r="AV13" s="394"/>
      <c r="AW13" s="394"/>
      <c r="AX13" s="394"/>
      <c r="AY13" s="394"/>
      <c r="AZ13" s="394"/>
      <c r="BA13" s="394"/>
      <c r="BB13" s="394"/>
      <c r="BC13" s="394"/>
    </row>
    <row r="14" spans="1:55" ht="18.75" customHeight="1" x14ac:dyDescent="0.25">
      <c r="A14" s="396" t="s">
        <v>2973</v>
      </c>
      <c r="B14" s="429" t="s">
        <v>3002</v>
      </c>
      <c r="C14" s="429"/>
      <c r="D14" s="429"/>
      <c r="E14" s="429"/>
      <c r="F14" s="429"/>
      <c r="G14" s="429"/>
      <c r="H14" s="429"/>
      <c r="I14" s="429"/>
      <c r="J14" s="429"/>
      <c r="K14" s="429"/>
      <c r="L14" s="429"/>
      <c r="M14" s="429"/>
      <c r="N14" s="429"/>
      <c r="O14" s="429"/>
      <c r="P14" s="429"/>
      <c r="Q14" s="429"/>
      <c r="R14" s="429"/>
      <c r="S14" s="429"/>
      <c r="T14" s="429"/>
      <c r="U14" s="394"/>
      <c r="V14" s="394"/>
      <c r="W14" s="394"/>
      <c r="X14" s="394"/>
      <c r="Y14" s="394"/>
      <c r="Z14" s="394"/>
      <c r="AA14" s="394"/>
      <c r="AB14" s="394"/>
      <c r="AC14" s="394"/>
      <c r="AD14" s="394"/>
      <c r="AE14" s="394"/>
      <c r="AF14" s="394"/>
      <c r="AG14" s="394"/>
      <c r="AH14" s="394"/>
      <c r="AI14" s="394"/>
      <c r="AJ14" s="394"/>
      <c r="AK14" s="394"/>
      <c r="AL14" s="394"/>
      <c r="AM14" s="394"/>
      <c r="AN14" s="394"/>
      <c r="AO14" s="394"/>
      <c r="AP14" s="394"/>
      <c r="AQ14" s="394"/>
      <c r="AR14" s="394"/>
      <c r="AS14" s="394"/>
      <c r="AT14" s="394"/>
      <c r="AU14" s="394"/>
      <c r="AV14" s="394"/>
      <c r="AW14" s="394"/>
      <c r="AX14" s="394"/>
      <c r="AY14" s="394"/>
      <c r="AZ14" s="394"/>
      <c r="BA14" s="394"/>
      <c r="BB14" s="394"/>
      <c r="BC14" s="394"/>
    </row>
    <row r="15" spans="1:55" ht="23.25" customHeight="1" x14ac:dyDescent="0.25">
      <c r="A15" s="396" t="s">
        <v>2974</v>
      </c>
      <c r="B15" s="428" t="s">
        <v>3007</v>
      </c>
      <c r="C15" s="428"/>
      <c r="D15" s="428"/>
      <c r="E15" s="428"/>
      <c r="F15" s="428"/>
      <c r="G15" s="428"/>
      <c r="H15" s="428"/>
      <c r="I15" s="428"/>
      <c r="J15" s="428"/>
      <c r="K15" s="428"/>
      <c r="L15" s="428"/>
      <c r="M15" s="428"/>
      <c r="N15" s="428"/>
      <c r="O15" s="428"/>
      <c r="P15" s="428"/>
      <c r="Q15" s="428"/>
      <c r="R15" s="428"/>
      <c r="S15" s="428"/>
      <c r="T15" s="428"/>
      <c r="U15" s="394"/>
      <c r="V15" s="394"/>
      <c r="W15" s="394"/>
      <c r="X15" s="394"/>
      <c r="Y15" s="394"/>
      <c r="Z15" s="394"/>
      <c r="AA15" s="394"/>
      <c r="AB15" s="394"/>
      <c r="AC15" s="394"/>
      <c r="AD15" s="394"/>
      <c r="AE15" s="394"/>
      <c r="AF15" s="394"/>
      <c r="AG15" s="394"/>
      <c r="AH15" s="394"/>
      <c r="AI15" s="394"/>
      <c r="AJ15" s="394"/>
      <c r="AK15" s="394"/>
      <c r="AL15" s="394"/>
      <c r="AM15" s="394"/>
      <c r="AN15" s="394"/>
      <c r="AO15" s="394"/>
      <c r="AP15" s="394"/>
      <c r="AQ15" s="394"/>
      <c r="AR15" s="394"/>
      <c r="AS15" s="394"/>
      <c r="AT15" s="394"/>
      <c r="AU15" s="394"/>
      <c r="AV15" s="394"/>
      <c r="AW15" s="394"/>
      <c r="AX15" s="394"/>
      <c r="AY15" s="394"/>
      <c r="AZ15" s="394"/>
      <c r="BA15" s="394"/>
      <c r="BB15" s="394"/>
      <c r="BC15" s="394"/>
    </row>
    <row r="16" spans="1:55" ht="34.5" customHeight="1" x14ac:dyDescent="0.25">
      <c r="A16" s="396" t="s">
        <v>2975</v>
      </c>
      <c r="B16" s="428" t="s">
        <v>2990</v>
      </c>
      <c r="C16" s="428"/>
      <c r="D16" s="428"/>
      <c r="E16" s="428"/>
      <c r="F16" s="428"/>
      <c r="G16" s="428"/>
      <c r="H16" s="428"/>
      <c r="I16" s="428"/>
      <c r="J16" s="428"/>
      <c r="K16" s="428"/>
      <c r="L16" s="428"/>
      <c r="M16" s="428"/>
      <c r="N16" s="428"/>
      <c r="O16" s="428"/>
      <c r="P16" s="428"/>
      <c r="Q16" s="428"/>
      <c r="R16" s="428"/>
      <c r="S16" s="428"/>
      <c r="T16" s="428"/>
      <c r="U16" s="394"/>
      <c r="V16" s="394"/>
      <c r="W16" s="394"/>
      <c r="X16" s="394"/>
      <c r="Y16" s="394"/>
      <c r="Z16" s="394"/>
      <c r="AA16" s="394"/>
      <c r="AB16" s="394"/>
      <c r="AC16" s="394"/>
      <c r="AD16" s="394"/>
      <c r="AE16" s="394"/>
      <c r="AF16" s="394"/>
      <c r="AG16" s="394"/>
      <c r="AH16" s="394"/>
      <c r="AI16" s="394"/>
      <c r="AJ16" s="394"/>
      <c r="AK16" s="394"/>
      <c r="AL16" s="394"/>
      <c r="AM16" s="394"/>
      <c r="AN16" s="394"/>
      <c r="AO16" s="394"/>
      <c r="AP16" s="394"/>
      <c r="AQ16" s="394"/>
      <c r="AR16" s="394"/>
      <c r="AS16" s="394"/>
      <c r="AT16" s="394"/>
      <c r="AU16" s="394"/>
      <c r="AV16" s="394"/>
      <c r="AW16" s="394"/>
      <c r="AX16" s="394"/>
      <c r="AY16" s="394"/>
      <c r="AZ16" s="394"/>
      <c r="BA16" s="394"/>
      <c r="BB16" s="394"/>
      <c r="BC16" s="394"/>
    </row>
    <row r="17" spans="1:55" ht="18.75" customHeight="1" x14ac:dyDescent="0.25">
      <c r="A17" s="396" t="s">
        <v>2976</v>
      </c>
      <c r="B17" s="428" t="s">
        <v>2991</v>
      </c>
      <c r="C17" s="428"/>
      <c r="D17" s="428"/>
      <c r="E17" s="428"/>
      <c r="F17" s="428"/>
      <c r="G17" s="428"/>
      <c r="H17" s="428"/>
      <c r="I17" s="428"/>
      <c r="J17" s="428"/>
      <c r="K17" s="428"/>
      <c r="L17" s="428"/>
      <c r="M17" s="428"/>
      <c r="N17" s="428"/>
      <c r="O17" s="428"/>
      <c r="P17" s="428"/>
      <c r="Q17" s="428"/>
      <c r="R17" s="428"/>
      <c r="S17" s="428"/>
      <c r="T17" s="428"/>
      <c r="U17" s="394"/>
      <c r="V17" s="394"/>
      <c r="W17" s="394"/>
      <c r="X17" s="394"/>
      <c r="Y17" s="394"/>
      <c r="Z17" s="394"/>
      <c r="AA17" s="394"/>
      <c r="AB17" s="394"/>
      <c r="AC17" s="394"/>
      <c r="AD17" s="394"/>
      <c r="AE17" s="394"/>
      <c r="AF17" s="394"/>
      <c r="AG17" s="394"/>
      <c r="AH17" s="394"/>
      <c r="AI17" s="394"/>
      <c r="AJ17" s="394"/>
      <c r="AK17" s="394"/>
      <c r="AL17" s="394"/>
      <c r="AM17" s="394"/>
      <c r="AN17" s="394"/>
      <c r="AO17" s="394"/>
      <c r="AP17" s="394"/>
      <c r="AQ17" s="394"/>
      <c r="AR17" s="394"/>
      <c r="AS17" s="394"/>
      <c r="AT17" s="394"/>
      <c r="AU17" s="394"/>
      <c r="AV17" s="394"/>
      <c r="AW17" s="394"/>
      <c r="AX17" s="394"/>
      <c r="AY17" s="394"/>
      <c r="AZ17" s="394"/>
      <c r="BA17" s="394"/>
      <c r="BB17" s="394"/>
      <c r="BC17" s="394"/>
    </row>
    <row r="18" spans="1:55" ht="18.75" customHeight="1" x14ac:dyDescent="0.25">
      <c r="A18" s="396" t="s">
        <v>2977</v>
      </c>
      <c r="B18" s="429" t="s">
        <v>2992</v>
      </c>
      <c r="C18" s="429"/>
      <c r="D18" s="429"/>
      <c r="E18" s="429"/>
      <c r="F18" s="429"/>
      <c r="G18" s="429"/>
      <c r="H18" s="429"/>
      <c r="I18" s="429"/>
      <c r="J18" s="429"/>
      <c r="K18" s="429"/>
      <c r="L18" s="429"/>
      <c r="M18" s="429"/>
      <c r="N18" s="429"/>
      <c r="O18" s="429"/>
      <c r="P18" s="429"/>
      <c r="Q18" s="429"/>
      <c r="R18" s="429"/>
      <c r="S18" s="429"/>
      <c r="T18" s="429"/>
      <c r="U18" s="394"/>
      <c r="V18" s="394"/>
      <c r="W18" s="394"/>
      <c r="X18" s="394"/>
      <c r="Y18" s="394"/>
      <c r="Z18" s="394"/>
      <c r="AA18" s="394"/>
      <c r="AB18" s="394"/>
      <c r="AC18" s="394"/>
      <c r="AD18" s="394"/>
      <c r="AE18" s="394"/>
      <c r="AF18" s="394"/>
      <c r="AG18" s="394"/>
      <c r="AH18" s="394"/>
      <c r="AI18" s="394"/>
      <c r="AJ18" s="394"/>
      <c r="AK18" s="394"/>
      <c r="AL18" s="394"/>
      <c r="AM18" s="394"/>
      <c r="AN18" s="394"/>
      <c r="AO18" s="394"/>
      <c r="AP18" s="394"/>
      <c r="AQ18" s="394"/>
      <c r="AR18" s="394"/>
      <c r="AS18" s="394"/>
      <c r="AT18" s="394"/>
      <c r="AU18" s="394"/>
      <c r="AV18" s="394"/>
      <c r="AW18" s="394"/>
      <c r="AX18" s="394"/>
      <c r="AY18" s="394"/>
      <c r="AZ18" s="394"/>
      <c r="BA18" s="394"/>
      <c r="BB18" s="394"/>
      <c r="BC18" s="394"/>
    </row>
    <row r="19" spans="1:55" ht="18.75" customHeight="1" x14ac:dyDescent="0.25">
      <c r="A19" s="396" t="s">
        <v>2978</v>
      </c>
      <c r="B19" s="428" t="s">
        <v>2993</v>
      </c>
      <c r="C19" s="428"/>
      <c r="D19" s="428"/>
      <c r="E19" s="428"/>
      <c r="F19" s="428"/>
      <c r="G19" s="428"/>
      <c r="H19" s="428"/>
      <c r="I19" s="428"/>
      <c r="J19" s="428"/>
      <c r="K19" s="428"/>
      <c r="L19" s="428"/>
      <c r="M19" s="428"/>
      <c r="N19" s="428"/>
      <c r="O19" s="428"/>
      <c r="P19" s="428"/>
      <c r="Q19" s="428"/>
      <c r="R19" s="428"/>
      <c r="S19" s="428"/>
      <c r="T19" s="428"/>
      <c r="U19" s="394"/>
      <c r="V19" s="394"/>
      <c r="W19" s="394"/>
      <c r="X19" s="394"/>
      <c r="Y19" s="394"/>
      <c r="Z19" s="394"/>
      <c r="AA19" s="394"/>
      <c r="AB19" s="394"/>
      <c r="AC19" s="394"/>
      <c r="AD19" s="394"/>
      <c r="AE19" s="394"/>
      <c r="AF19" s="394"/>
      <c r="AG19" s="394"/>
      <c r="AH19" s="394"/>
      <c r="AI19" s="394"/>
      <c r="AJ19" s="394"/>
      <c r="AK19" s="394"/>
      <c r="AL19" s="394"/>
      <c r="AM19" s="394"/>
      <c r="AN19" s="394"/>
      <c r="AO19" s="394"/>
      <c r="AP19" s="394"/>
      <c r="AQ19" s="394"/>
      <c r="AR19" s="394"/>
      <c r="AS19" s="394"/>
      <c r="AT19" s="394"/>
      <c r="AU19" s="394"/>
      <c r="AV19" s="394"/>
      <c r="AW19" s="394"/>
      <c r="AX19" s="394"/>
      <c r="AY19" s="394"/>
      <c r="AZ19" s="394"/>
      <c r="BA19" s="394"/>
      <c r="BB19" s="394"/>
      <c r="BC19" s="394"/>
    </row>
    <row r="20" spans="1:55" ht="18.75" customHeight="1" x14ac:dyDescent="0.25">
      <c r="A20" s="396" t="s">
        <v>2979</v>
      </c>
      <c r="B20" s="429" t="s">
        <v>2997</v>
      </c>
      <c r="C20" s="429"/>
      <c r="D20" s="429"/>
      <c r="E20" s="429"/>
      <c r="F20" s="429"/>
      <c r="G20" s="429"/>
      <c r="H20" s="429"/>
      <c r="I20" s="429"/>
      <c r="J20" s="429"/>
      <c r="K20" s="429"/>
      <c r="L20" s="429"/>
      <c r="M20" s="429"/>
      <c r="N20" s="429"/>
      <c r="O20" s="429"/>
      <c r="P20" s="429"/>
      <c r="Q20" s="429"/>
      <c r="R20" s="429"/>
      <c r="S20" s="429"/>
      <c r="T20" s="429"/>
      <c r="U20" s="394"/>
      <c r="V20" s="394"/>
      <c r="W20" s="394"/>
      <c r="X20" s="394"/>
      <c r="Y20" s="394"/>
      <c r="Z20" s="394"/>
      <c r="AA20" s="394"/>
      <c r="AB20" s="394"/>
      <c r="AC20" s="394"/>
      <c r="AD20" s="394"/>
      <c r="AE20" s="394"/>
      <c r="AF20" s="394"/>
      <c r="AG20" s="394"/>
      <c r="AH20" s="394"/>
      <c r="AI20" s="394"/>
      <c r="AJ20" s="394"/>
      <c r="AK20" s="394"/>
      <c r="AL20" s="394"/>
      <c r="AM20" s="394"/>
      <c r="AN20" s="394"/>
      <c r="AO20" s="394"/>
      <c r="AP20" s="394"/>
      <c r="AQ20" s="394"/>
      <c r="AR20" s="394"/>
      <c r="AS20" s="394"/>
      <c r="AT20" s="394"/>
      <c r="AU20" s="394"/>
      <c r="AV20" s="394"/>
      <c r="AW20" s="394"/>
      <c r="AX20" s="394"/>
      <c r="AY20" s="394"/>
      <c r="AZ20" s="394"/>
      <c r="BA20" s="394"/>
      <c r="BB20" s="394"/>
      <c r="BC20" s="394"/>
    </row>
    <row r="21" spans="1:55" ht="18.75" customHeight="1" x14ac:dyDescent="0.25">
      <c r="A21" s="396" t="s">
        <v>2980</v>
      </c>
      <c r="B21" s="428" t="s">
        <v>2996</v>
      </c>
      <c r="C21" s="428"/>
      <c r="D21" s="428"/>
      <c r="E21" s="428"/>
      <c r="F21" s="428"/>
      <c r="G21" s="428"/>
      <c r="H21" s="428"/>
      <c r="I21" s="428"/>
      <c r="J21" s="428"/>
      <c r="K21" s="428"/>
      <c r="L21" s="428"/>
      <c r="M21" s="428"/>
      <c r="N21" s="428"/>
      <c r="O21" s="428"/>
      <c r="P21" s="428"/>
      <c r="Q21" s="428"/>
      <c r="R21" s="428"/>
      <c r="S21" s="428"/>
      <c r="T21" s="428"/>
      <c r="U21" s="394"/>
      <c r="V21" s="394"/>
      <c r="W21" s="394"/>
      <c r="X21" s="394"/>
      <c r="Y21" s="394"/>
      <c r="Z21" s="394"/>
      <c r="AA21" s="394"/>
      <c r="AB21" s="394"/>
      <c r="AC21" s="394"/>
      <c r="AD21" s="394"/>
      <c r="AE21" s="394"/>
      <c r="AF21" s="394"/>
      <c r="AG21" s="394"/>
      <c r="AH21" s="394"/>
      <c r="AI21" s="394"/>
      <c r="AJ21" s="394"/>
      <c r="AK21" s="394"/>
      <c r="AL21" s="394"/>
      <c r="AM21" s="394"/>
      <c r="AN21" s="394"/>
      <c r="AO21" s="394"/>
      <c r="AP21" s="394"/>
      <c r="AQ21" s="394"/>
      <c r="AR21" s="394"/>
      <c r="AS21" s="394"/>
      <c r="AT21" s="394"/>
      <c r="AU21" s="394"/>
      <c r="AV21" s="394"/>
      <c r="AW21" s="394"/>
      <c r="AX21" s="394"/>
      <c r="AY21" s="394"/>
      <c r="AZ21" s="394"/>
      <c r="BA21" s="394"/>
      <c r="BB21" s="394"/>
      <c r="BC21" s="394"/>
    </row>
    <row r="22" spans="1:55" ht="18.75" customHeight="1" x14ac:dyDescent="0.25">
      <c r="A22" s="396" t="s">
        <v>2981</v>
      </c>
      <c r="B22" s="428" t="s">
        <v>3008</v>
      </c>
      <c r="C22" s="428"/>
      <c r="D22" s="428"/>
      <c r="E22" s="428"/>
      <c r="F22" s="428"/>
      <c r="G22" s="428"/>
      <c r="H22" s="428"/>
      <c r="I22" s="428"/>
      <c r="J22" s="428"/>
      <c r="K22" s="428"/>
      <c r="L22" s="428"/>
      <c r="M22" s="428"/>
      <c r="N22" s="428"/>
      <c r="O22" s="428"/>
      <c r="P22" s="428"/>
      <c r="Q22" s="428"/>
      <c r="R22" s="428"/>
      <c r="S22" s="428"/>
      <c r="T22" s="428"/>
      <c r="U22" s="394"/>
      <c r="V22" s="394"/>
      <c r="W22" s="394"/>
      <c r="X22" s="394"/>
      <c r="Y22" s="394"/>
      <c r="Z22" s="394"/>
      <c r="AA22" s="394"/>
      <c r="AB22" s="394"/>
      <c r="AC22" s="394"/>
      <c r="AD22" s="394"/>
      <c r="AE22" s="394"/>
      <c r="AF22" s="394"/>
      <c r="AG22" s="394"/>
      <c r="AH22" s="394"/>
      <c r="AI22" s="394"/>
      <c r="AJ22" s="394"/>
      <c r="AK22" s="394"/>
      <c r="AL22" s="394"/>
      <c r="AM22" s="394"/>
      <c r="AN22" s="394"/>
      <c r="AO22" s="394"/>
      <c r="AP22" s="394"/>
      <c r="AQ22" s="394"/>
      <c r="AR22" s="394"/>
      <c r="AS22" s="394"/>
      <c r="AT22" s="394"/>
      <c r="AU22" s="394"/>
      <c r="AV22" s="394"/>
      <c r="AW22" s="394"/>
      <c r="AX22" s="394"/>
      <c r="AY22" s="394"/>
      <c r="AZ22" s="394"/>
      <c r="BA22" s="394"/>
      <c r="BB22" s="394"/>
      <c r="BC22" s="394"/>
    </row>
    <row r="23" spans="1:55" ht="36" customHeight="1" x14ac:dyDescent="0.25">
      <c r="A23" s="396" t="s">
        <v>2982</v>
      </c>
      <c r="B23" s="428" t="s">
        <v>2998</v>
      </c>
      <c r="C23" s="428"/>
      <c r="D23" s="428"/>
      <c r="E23" s="428"/>
      <c r="F23" s="428"/>
      <c r="G23" s="428"/>
      <c r="H23" s="428"/>
      <c r="I23" s="428"/>
      <c r="J23" s="428"/>
      <c r="K23" s="428"/>
      <c r="L23" s="428"/>
      <c r="M23" s="428"/>
      <c r="N23" s="428"/>
      <c r="O23" s="428"/>
      <c r="P23" s="428"/>
      <c r="Q23" s="428"/>
      <c r="R23" s="428"/>
      <c r="S23" s="428"/>
      <c r="T23" s="428"/>
      <c r="U23" s="394"/>
      <c r="V23" s="394"/>
      <c r="W23" s="394"/>
      <c r="X23" s="394"/>
      <c r="Y23" s="394"/>
      <c r="Z23" s="394"/>
      <c r="AA23" s="394"/>
      <c r="AB23" s="394"/>
      <c r="AC23" s="394"/>
      <c r="AD23" s="394"/>
      <c r="AE23" s="394"/>
      <c r="AF23" s="394"/>
      <c r="AG23" s="394"/>
      <c r="AH23" s="394"/>
      <c r="AI23" s="394"/>
      <c r="AJ23" s="394"/>
      <c r="AK23" s="394"/>
      <c r="AL23" s="394"/>
      <c r="AM23" s="394"/>
      <c r="AN23" s="394"/>
      <c r="AO23" s="394"/>
      <c r="AP23" s="394"/>
      <c r="AQ23" s="394"/>
      <c r="AR23" s="394"/>
      <c r="AS23" s="394"/>
      <c r="AT23" s="394"/>
      <c r="AU23" s="394"/>
      <c r="AV23" s="394"/>
      <c r="AW23" s="394"/>
      <c r="AX23" s="394"/>
      <c r="AY23" s="394"/>
      <c r="AZ23" s="394"/>
      <c r="BA23" s="394"/>
      <c r="BB23" s="394"/>
      <c r="BC23" s="394"/>
    </row>
    <row r="24" spans="1:55" ht="18.75" customHeight="1" x14ac:dyDescent="0.25">
      <c r="A24" s="396" t="s">
        <v>2983</v>
      </c>
      <c r="B24" s="428" t="s">
        <v>3009</v>
      </c>
      <c r="C24" s="428"/>
      <c r="D24" s="428"/>
      <c r="E24" s="428"/>
      <c r="F24" s="428"/>
      <c r="G24" s="428"/>
      <c r="H24" s="428"/>
      <c r="I24" s="428"/>
      <c r="J24" s="428"/>
      <c r="K24" s="428"/>
      <c r="L24" s="428"/>
      <c r="M24" s="428"/>
      <c r="N24" s="428"/>
      <c r="O24" s="428"/>
      <c r="P24" s="428"/>
      <c r="Q24" s="428"/>
      <c r="R24" s="428"/>
      <c r="S24" s="428"/>
      <c r="T24" s="428"/>
      <c r="U24" s="394"/>
      <c r="V24" s="394"/>
      <c r="W24" s="394"/>
      <c r="X24" s="394"/>
      <c r="Y24" s="394"/>
      <c r="Z24" s="394"/>
      <c r="AA24" s="394"/>
      <c r="AB24" s="394"/>
      <c r="AC24" s="394"/>
      <c r="AD24" s="394"/>
      <c r="AE24" s="394"/>
      <c r="AF24" s="394"/>
      <c r="AG24" s="394"/>
      <c r="AH24" s="394"/>
      <c r="AI24" s="394"/>
      <c r="AJ24" s="394"/>
      <c r="AK24" s="394"/>
      <c r="AL24" s="394"/>
      <c r="AM24" s="394"/>
      <c r="AN24" s="394"/>
      <c r="AO24" s="394"/>
      <c r="AP24" s="394"/>
      <c r="AQ24" s="394"/>
      <c r="AR24" s="394"/>
      <c r="AS24" s="394"/>
      <c r="AT24" s="394"/>
      <c r="AU24" s="394"/>
      <c r="AV24" s="394"/>
      <c r="AW24" s="394"/>
      <c r="AX24" s="394"/>
      <c r="AY24" s="394"/>
      <c r="AZ24" s="394"/>
      <c r="BA24" s="394"/>
      <c r="BB24" s="394"/>
      <c r="BC24" s="394"/>
    </row>
    <row r="25" spans="1:55" ht="18.75" customHeight="1" x14ac:dyDescent="0.25">
      <c r="A25" s="396" t="s">
        <v>2984</v>
      </c>
      <c r="B25" s="428" t="s">
        <v>2994</v>
      </c>
      <c r="C25" s="428"/>
      <c r="D25" s="428"/>
      <c r="E25" s="428"/>
      <c r="F25" s="428"/>
      <c r="G25" s="428"/>
      <c r="H25" s="428"/>
      <c r="I25" s="428"/>
      <c r="J25" s="428"/>
      <c r="K25" s="428"/>
      <c r="L25" s="428"/>
      <c r="M25" s="428"/>
      <c r="N25" s="428"/>
      <c r="O25" s="428"/>
      <c r="P25" s="428"/>
      <c r="Q25" s="428"/>
      <c r="R25" s="428"/>
      <c r="S25" s="428"/>
      <c r="T25" s="428"/>
      <c r="U25" s="394"/>
      <c r="V25" s="394"/>
      <c r="W25" s="394"/>
      <c r="X25" s="394"/>
      <c r="Y25" s="394"/>
      <c r="Z25" s="394"/>
      <c r="AA25" s="394"/>
      <c r="AB25" s="394"/>
      <c r="AC25" s="394"/>
      <c r="AD25" s="394"/>
      <c r="AE25" s="394"/>
      <c r="AF25" s="394"/>
      <c r="AG25" s="394"/>
      <c r="AH25" s="394"/>
      <c r="AI25" s="394"/>
      <c r="AJ25" s="394"/>
      <c r="AK25" s="394"/>
      <c r="AL25" s="394"/>
      <c r="AM25" s="394"/>
      <c r="AN25" s="394"/>
      <c r="AO25" s="394"/>
      <c r="AP25" s="394"/>
      <c r="AQ25" s="394"/>
      <c r="AR25" s="394"/>
      <c r="AS25" s="394"/>
      <c r="AT25" s="394"/>
      <c r="AU25" s="394"/>
      <c r="AV25" s="394"/>
      <c r="AW25" s="394"/>
      <c r="AX25" s="394"/>
      <c r="AY25" s="394"/>
      <c r="AZ25" s="394"/>
      <c r="BA25" s="394"/>
      <c r="BB25" s="394"/>
      <c r="BC25" s="394"/>
    </row>
    <row r="26" spans="1:55" ht="18.75" customHeight="1" thickBot="1" x14ac:dyDescent="0.3">
      <c r="A26" s="397" t="s">
        <v>3086</v>
      </c>
      <c r="B26" s="430" t="s">
        <v>3001</v>
      </c>
      <c r="C26" s="430"/>
      <c r="D26" s="430"/>
      <c r="E26" s="430"/>
      <c r="F26" s="430"/>
      <c r="G26" s="430"/>
      <c r="H26" s="430"/>
      <c r="I26" s="430"/>
      <c r="J26" s="430"/>
      <c r="K26" s="430"/>
      <c r="L26" s="430"/>
      <c r="M26" s="430"/>
      <c r="N26" s="430"/>
      <c r="O26" s="430"/>
      <c r="P26" s="430"/>
      <c r="Q26" s="430"/>
      <c r="R26" s="430"/>
      <c r="S26" s="430"/>
      <c r="T26" s="430"/>
      <c r="U26" s="394"/>
      <c r="V26" s="394"/>
      <c r="W26" s="394"/>
      <c r="X26" s="394"/>
      <c r="Y26" s="394"/>
      <c r="Z26" s="394"/>
      <c r="AA26" s="394"/>
      <c r="AB26" s="394"/>
      <c r="AC26" s="394"/>
      <c r="AD26" s="394"/>
      <c r="AE26" s="394"/>
      <c r="AF26" s="394"/>
      <c r="AG26" s="394"/>
      <c r="AH26" s="394"/>
      <c r="AI26" s="394"/>
      <c r="AJ26" s="394"/>
      <c r="AK26" s="394"/>
      <c r="AL26" s="394"/>
      <c r="AM26" s="394"/>
      <c r="AN26" s="394"/>
      <c r="AO26" s="394"/>
      <c r="AP26" s="394"/>
      <c r="AQ26" s="394"/>
      <c r="AR26" s="394"/>
      <c r="AS26" s="394"/>
      <c r="AT26" s="394"/>
      <c r="AU26" s="394"/>
      <c r="AV26" s="394"/>
      <c r="AW26" s="394"/>
      <c r="AX26" s="394"/>
      <c r="AY26" s="394"/>
      <c r="AZ26" s="394"/>
      <c r="BA26" s="394"/>
      <c r="BB26" s="394"/>
      <c r="BC26" s="394"/>
    </row>
  </sheetData>
  <mergeCells count="24">
    <mergeCell ref="B3:T3"/>
    <mergeCell ref="B4:T4"/>
    <mergeCell ref="B5:T5"/>
    <mergeCell ref="B17:T17"/>
    <mergeCell ref="B20:T20"/>
    <mergeCell ref="B19:T19"/>
    <mergeCell ref="B9:T9"/>
    <mergeCell ref="B11:T11"/>
    <mergeCell ref="B7:T7"/>
    <mergeCell ref="B15:T15"/>
    <mergeCell ref="B16:T16"/>
    <mergeCell ref="B8:T8"/>
    <mergeCell ref="B12:T12"/>
    <mergeCell ref="B10:T10"/>
    <mergeCell ref="B6:T6"/>
    <mergeCell ref="B24:T24"/>
    <mergeCell ref="B13:T13"/>
    <mergeCell ref="B14:T14"/>
    <mergeCell ref="B26:T26"/>
    <mergeCell ref="B25:T25"/>
    <mergeCell ref="B21:T21"/>
    <mergeCell ref="B18:T18"/>
    <mergeCell ref="B23:T23"/>
    <mergeCell ref="B22:T22"/>
  </mergeCells>
  <conditionalFormatting sqref="B12 U12:BC12">
    <cfRule type="cellIs" dxfId="15" priority="3" operator="equal">
      <formula>0</formula>
    </cfRule>
  </conditionalFormatting>
  <conditionalFormatting sqref="B10">
    <cfRule type="cellIs" dxfId="14" priority="2" operator="equal">
      <formula>0</formula>
    </cfRule>
  </conditionalFormatting>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workbookViewId="0">
      <selection activeCell="O16" sqref="O16"/>
    </sheetView>
  </sheetViews>
  <sheetFormatPr defaultRowHeight="15" x14ac:dyDescent="0.25"/>
  <cols>
    <col min="1" max="1" width="5.5703125" bestFit="1" customWidth="1"/>
    <col min="2" max="2" width="26.7109375" bestFit="1" customWidth="1"/>
    <col min="3" max="3" width="13.7109375" customWidth="1"/>
    <col min="4" max="4" width="11.140625" customWidth="1"/>
    <col min="9" max="10" width="12.5703125" customWidth="1"/>
  </cols>
  <sheetData>
    <row r="1" spans="1:13" ht="15" customHeight="1" x14ac:dyDescent="0.25">
      <c r="A1" s="439" t="s">
        <v>3071</v>
      </c>
      <c r="B1" s="439"/>
      <c r="C1" s="439"/>
      <c r="D1" s="439"/>
      <c r="E1" s="439"/>
      <c r="F1" s="439"/>
      <c r="G1" s="439"/>
      <c r="H1" s="439"/>
      <c r="I1" s="439"/>
      <c r="J1" s="439"/>
      <c r="K1" s="351"/>
      <c r="L1" s="351"/>
      <c r="M1" s="351"/>
    </row>
    <row r="2" spans="1:13" ht="54.75" customHeight="1" thickBot="1" x14ac:dyDescent="0.3">
      <c r="A2" s="439"/>
      <c r="B2" s="439"/>
      <c r="C2" s="439"/>
      <c r="D2" s="439"/>
      <c r="E2" s="439"/>
      <c r="F2" s="439"/>
      <c r="G2" s="439"/>
      <c r="H2" s="439"/>
      <c r="I2" s="439"/>
      <c r="J2" s="439"/>
      <c r="K2" s="351"/>
      <c r="L2" s="351"/>
      <c r="M2" s="351"/>
    </row>
    <row r="3" spans="1:13" ht="15.75" thickBot="1" x14ac:dyDescent="0.3">
      <c r="A3" s="330" t="s">
        <v>345</v>
      </c>
      <c r="B3" s="331" t="s">
        <v>382</v>
      </c>
      <c r="C3" s="332" t="s">
        <v>346</v>
      </c>
      <c r="D3" s="333" t="s">
        <v>347</v>
      </c>
      <c r="E3" s="333" t="s">
        <v>348</v>
      </c>
      <c r="F3" s="334" t="s">
        <v>349</v>
      </c>
      <c r="G3" s="334" t="s">
        <v>350</v>
      </c>
      <c r="H3" s="333" t="s">
        <v>351</v>
      </c>
      <c r="I3" s="335" t="s">
        <v>2933</v>
      </c>
      <c r="J3" s="335" t="s">
        <v>2934</v>
      </c>
    </row>
    <row r="4" spans="1:13" ht="18" thickBot="1" x14ac:dyDescent="0.3">
      <c r="A4" s="336"/>
      <c r="B4" s="337"/>
      <c r="C4" s="337" t="s">
        <v>1860</v>
      </c>
      <c r="D4" s="337" t="s">
        <v>1861</v>
      </c>
      <c r="E4" s="338"/>
      <c r="F4" s="339"/>
      <c r="G4" s="339"/>
      <c r="H4" s="338"/>
      <c r="I4" s="336" t="s">
        <v>1860</v>
      </c>
      <c r="J4" s="336" t="s">
        <v>1860</v>
      </c>
    </row>
    <row r="5" spans="1:13" x14ac:dyDescent="0.25">
      <c r="A5" s="341">
        <v>4</v>
      </c>
      <c r="B5" s="342" t="s">
        <v>353</v>
      </c>
      <c r="C5" s="343">
        <v>24.19</v>
      </c>
      <c r="D5" s="343">
        <v>254.06</v>
      </c>
      <c r="E5" s="344">
        <v>254.06</v>
      </c>
      <c r="F5" s="341">
        <v>1</v>
      </c>
      <c r="G5" s="341">
        <v>1</v>
      </c>
      <c r="H5" s="343">
        <v>0.99</v>
      </c>
      <c r="I5" s="340">
        <v>0</v>
      </c>
      <c r="J5" s="341">
        <v>0</v>
      </c>
    </row>
    <row r="6" spans="1:13" x14ac:dyDescent="0.25">
      <c r="A6" s="341">
        <v>5</v>
      </c>
      <c r="B6" s="342" t="s">
        <v>2935</v>
      </c>
      <c r="C6" s="343">
        <v>205.38</v>
      </c>
      <c r="D6" s="343">
        <v>17.010000000000002</v>
      </c>
      <c r="E6" s="344">
        <v>17.010000000000002</v>
      </c>
      <c r="F6" s="341">
        <v>1</v>
      </c>
      <c r="G6" s="341">
        <v>1</v>
      </c>
      <c r="H6" s="343">
        <v>0.22</v>
      </c>
      <c r="I6" s="340">
        <v>0</v>
      </c>
      <c r="J6" s="341">
        <v>0</v>
      </c>
    </row>
    <row r="7" spans="1:13" x14ac:dyDescent="0.25">
      <c r="A7" s="341">
        <v>6</v>
      </c>
      <c r="B7" s="342" t="s">
        <v>1864</v>
      </c>
      <c r="C7" s="343">
        <v>13.84</v>
      </c>
      <c r="D7" s="343">
        <v>200</v>
      </c>
      <c r="E7" s="343">
        <v>215</v>
      </c>
      <c r="F7" s="341">
        <v>0.93</v>
      </c>
      <c r="G7" s="341">
        <v>0.95</v>
      </c>
      <c r="H7" s="409">
        <v>0.98619999999999997</v>
      </c>
      <c r="I7" s="340">
        <v>0</v>
      </c>
      <c r="J7" s="341">
        <v>0</v>
      </c>
    </row>
    <row r="8" spans="1:13" x14ac:dyDescent="0.25">
      <c r="A8" s="341">
        <v>7</v>
      </c>
      <c r="B8" s="342" t="s">
        <v>1865</v>
      </c>
      <c r="C8" s="343">
        <v>208.64</v>
      </c>
      <c r="D8" s="343">
        <v>20.2</v>
      </c>
      <c r="E8" s="343">
        <v>53.82</v>
      </c>
      <c r="F8" s="341">
        <v>0.4</v>
      </c>
      <c r="G8" s="341">
        <v>0.9</v>
      </c>
      <c r="H8" s="343">
        <v>0.85</v>
      </c>
      <c r="I8" s="340">
        <v>0</v>
      </c>
      <c r="J8" s="341">
        <v>0</v>
      </c>
    </row>
    <row r="9" spans="1:13" x14ac:dyDescent="0.25">
      <c r="A9" s="341">
        <v>8</v>
      </c>
      <c r="B9" s="342" t="s">
        <v>1866</v>
      </c>
      <c r="C9" s="343">
        <v>1.73</v>
      </c>
      <c r="D9" s="343">
        <v>23.9</v>
      </c>
      <c r="E9" s="343">
        <v>82.34</v>
      </c>
      <c r="F9" s="341">
        <v>0.51</v>
      </c>
      <c r="G9" s="341">
        <v>0.71</v>
      </c>
      <c r="H9" s="343">
        <v>0.91</v>
      </c>
      <c r="I9" s="345">
        <v>5.1499999999999997E-2</v>
      </c>
      <c r="J9" s="346">
        <v>1.74E-4</v>
      </c>
    </row>
    <row r="10" spans="1:13" x14ac:dyDescent="0.25">
      <c r="A10" s="341">
        <v>9</v>
      </c>
      <c r="B10" s="342" t="s">
        <v>1867</v>
      </c>
      <c r="C10" s="343">
        <v>1.25</v>
      </c>
      <c r="D10" s="343">
        <v>20.7</v>
      </c>
      <c r="E10" s="343">
        <v>51.75</v>
      </c>
      <c r="F10" s="341">
        <v>0.4</v>
      </c>
      <c r="G10" s="341">
        <v>0.9</v>
      </c>
      <c r="H10" s="343">
        <v>0.62</v>
      </c>
      <c r="I10" s="340">
        <v>0</v>
      </c>
      <c r="J10" s="341">
        <v>0</v>
      </c>
    </row>
    <row r="11" spans="1:13" x14ac:dyDescent="0.25">
      <c r="A11" s="341">
        <v>10</v>
      </c>
      <c r="B11" s="342" t="s">
        <v>1868</v>
      </c>
      <c r="C11" s="343">
        <v>5.59</v>
      </c>
      <c r="D11" s="343">
        <v>37.659999999999997</v>
      </c>
      <c r="E11" s="343">
        <v>156.21</v>
      </c>
      <c r="F11" s="341">
        <v>0.4</v>
      </c>
      <c r="G11" s="341">
        <v>0.9</v>
      </c>
      <c r="H11" s="343">
        <v>0.51</v>
      </c>
      <c r="I11" s="340">
        <v>0</v>
      </c>
      <c r="J11" s="341">
        <v>0</v>
      </c>
    </row>
    <row r="12" spans="1:13" x14ac:dyDescent="0.25">
      <c r="A12" s="341">
        <v>11</v>
      </c>
      <c r="B12" s="342" t="s">
        <v>354</v>
      </c>
      <c r="C12" s="343">
        <v>4.8</v>
      </c>
      <c r="D12" s="343">
        <v>18.25</v>
      </c>
      <c r="E12" s="343">
        <v>60</v>
      </c>
      <c r="F12" s="341">
        <v>0.3</v>
      </c>
      <c r="G12" s="341">
        <v>0.9</v>
      </c>
      <c r="H12" s="343">
        <v>0.42</v>
      </c>
      <c r="I12" s="340">
        <v>0</v>
      </c>
      <c r="J12" s="346">
        <v>3.34E-7</v>
      </c>
    </row>
    <row r="13" spans="1:13" x14ac:dyDescent="0.25">
      <c r="A13" s="341">
        <v>12</v>
      </c>
      <c r="B13" s="342" t="s">
        <v>358</v>
      </c>
      <c r="C13" s="343">
        <v>8.7200000000000006</v>
      </c>
      <c r="D13" s="343">
        <v>2.1</v>
      </c>
      <c r="E13" s="343">
        <v>13.64</v>
      </c>
      <c r="F13" s="341">
        <v>0.15</v>
      </c>
      <c r="G13" s="341">
        <v>0.8</v>
      </c>
      <c r="H13" s="343">
        <v>0.89</v>
      </c>
      <c r="I13" s="345">
        <v>5.54</v>
      </c>
      <c r="J13" s="346">
        <v>1.59</v>
      </c>
    </row>
    <row r="14" spans="1:13" x14ac:dyDescent="0.25">
      <c r="A14" s="341">
        <v>13</v>
      </c>
      <c r="B14" s="342" t="s">
        <v>1869</v>
      </c>
      <c r="C14" s="343">
        <v>20.34</v>
      </c>
      <c r="D14" s="343">
        <v>1.98</v>
      </c>
      <c r="E14" s="343">
        <v>12.69</v>
      </c>
      <c r="F14" s="341">
        <v>0.17</v>
      </c>
      <c r="G14" s="341">
        <v>0.8</v>
      </c>
      <c r="H14" s="343">
        <v>0.66</v>
      </c>
      <c r="I14" s="345">
        <v>2.5799999999999998E-3</v>
      </c>
      <c r="J14" s="346">
        <v>3.4499999999999998E-5</v>
      </c>
    </row>
    <row r="15" spans="1:13" x14ac:dyDescent="0.25">
      <c r="A15" s="341">
        <v>14</v>
      </c>
      <c r="B15" s="342" t="s">
        <v>1870</v>
      </c>
      <c r="C15" s="343">
        <v>42.59</v>
      </c>
      <c r="D15" s="343">
        <v>1.52</v>
      </c>
      <c r="E15" s="343">
        <v>19.440000000000001</v>
      </c>
      <c r="F15" s="341">
        <v>0.17</v>
      </c>
      <c r="G15" s="341">
        <v>0.8</v>
      </c>
      <c r="H15" s="343">
        <v>0.56999999999999995</v>
      </c>
      <c r="I15" s="345">
        <v>6.2500000000000001E-5</v>
      </c>
      <c r="J15" s="346">
        <v>1.9199999999999999E-5</v>
      </c>
    </row>
    <row r="16" spans="1:13" x14ac:dyDescent="0.25">
      <c r="A16" s="341">
        <v>15</v>
      </c>
      <c r="B16" s="342" t="s">
        <v>1871</v>
      </c>
      <c r="C16" s="343">
        <v>4.42</v>
      </c>
      <c r="D16" s="343">
        <v>0.86</v>
      </c>
      <c r="E16" s="343">
        <v>10.4</v>
      </c>
      <c r="F16" s="341">
        <v>0.15</v>
      </c>
      <c r="G16" s="341">
        <v>0.8</v>
      </c>
      <c r="H16" s="343">
        <v>0.79</v>
      </c>
      <c r="I16" s="345">
        <v>4.7399999999999998E-2</v>
      </c>
      <c r="J16" s="346">
        <v>8.9200000000000008E-3</v>
      </c>
    </row>
    <row r="17" spans="1:10" x14ac:dyDescent="0.25">
      <c r="A17" s="341">
        <v>16</v>
      </c>
      <c r="B17" s="342" t="s">
        <v>1872</v>
      </c>
      <c r="C17" s="343">
        <v>86.07</v>
      </c>
      <c r="D17" s="343">
        <v>1.57</v>
      </c>
      <c r="E17" s="343">
        <v>5.51</v>
      </c>
      <c r="F17" s="341">
        <v>0.28999999999999998</v>
      </c>
      <c r="G17" s="341">
        <v>0.8</v>
      </c>
      <c r="H17" s="343">
        <v>0.93</v>
      </c>
      <c r="I17" s="345">
        <v>1.9300000000000001E-2</v>
      </c>
      <c r="J17" s="346">
        <v>3.0899999999999999E-3</v>
      </c>
    </row>
    <row r="18" spans="1:10" x14ac:dyDescent="0.25">
      <c r="A18" s="341">
        <v>17</v>
      </c>
      <c r="B18" s="342" t="s">
        <v>1873</v>
      </c>
      <c r="C18" s="343">
        <v>1.5</v>
      </c>
      <c r="D18" s="343">
        <v>0.98</v>
      </c>
      <c r="E18" s="343">
        <v>4.5999999999999996</v>
      </c>
      <c r="F18" s="341">
        <v>0.22</v>
      </c>
      <c r="G18" s="341">
        <v>0.8</v>
      </c>
      <c r="H18" s="343">
        <v>0</v>
      </c>
      <c r="I18" s="345">
        <v>1.9E-3</v>
      </c>
      <c r="J18" s="346">
        <v>4.5300000000000001E-4</v>
      </c>
    </row>
    <row r="19" spans="1:10" x14ac:dyDescent="0.25">
      <c r="A19" s="341">
        <v>18</v>
      </c>
      <c r="B19" s="342" t="s">
        <v>1874</v>
      </c>
      <c r="C19" s="343">
        <v>10.37</v>
      </c>
      <c r="D19" s="343">
        <v>0.7</v>
      </c>
      <c r="E19" s="343">
        <v>5.4</v>
      </c>
      <c r="F19" s="341">
        <v>0.13</v>
      </c>
      <c r="G19" s="341">
        <v>0.8</v>
      </c>
      <c r="H19" s="343">
        <v>0.37</v>
      </c>
      <c r="I19" s="345">
        <v>4.7499999999999999E-3</v>
      </c>
      <c r="J19" s="346">
        <v>6.69E-4</v>
      </c>
    </row>
    <row r="20" spans="1:10" x14ac:dyDescent="0.25">
      <c r="A20" s="341">
        <v>19</v>
      </c>
      <c r="B20" s="342" t="s">
        <v>1875</v>
      </c>
      <c r="C20" s="343">
        <v>4.0999999999999996</v>
      </c>
      <c r="D20" s="343">
        <v>4.3</v>
      </c>
      <c r="E20" s="343">
        <v>10</v>
      </c>
      <c r="F20" s="341">
        <v>0.43</v>
      </c>
      <c r="G20" s="341">
        <v>0.8</v>
      </c>
      <c r="H20" s="343">
        <v>0.75</v>
      </c>
      <c r="I20" s="345">
        <v>2.2400000000000002E-6</v>
      </c>
      <c r="J20" s="341">
        <v>0</v>
      </c>
    </row>
    <row r="21" spans="1:10" x14ac:dyDescent="0.25">
      <c r="A21" s="341">
        <v>20</v>
      </c>
      <c r="B21" s="342" t="s">
        <v>1876</v>
      </c>
      <c r="C21" s="343">
        <v>40.4</v>
      </c>
      <c r="D21" s="409">
        <v>6.2089999999999996</v>
      </c>
      <c r="E21" s="343">
        <v>7.45</v>
      </c>
      <c r="F21" s="410">
        <v>0.85050000000000003</v>
      </c>
      <c r="G21" s="410">
        <v>0.86870000000000003</v>
      </c>
      <c r="H21" s="409">
        <v>0.99760000000000004</v>
      </c>
      <c r="I21" s="345">
        <v>9.8799999999999999E-2</v>
      </c>
      <c r="J21" s="346">
        <v>4.1399999999999996E-3</v>
      </c>
    </row>
    <row r="22" spans="1:10" x14ac:dyDescent="0.25">
      <c r="A22" s="341">
        <v>21</v>
      </c>
      <c r="B22" s="342" t="s">
        <v>1877</v>
      </c>
      <c r="C22" s="343">
        <v>53.4</v>
      </c>
      <c r="D22" s="343">
        <v>1.83</v>
      </c>
      <c r="E22" s="343">
        <v>21.06</v>
      </c>
      <c r="F22" s="341">
        <v>0.1</v>
      </c>
      <c r="G22" s="410">
        <v>0.48609999999999998</v>
      </c>
      <c r="H22" s="343">
        <v>0.56000000000000005</v>
      </c>
      <c r="I22" s="345">
        <v>9.9199999999999997E-2</v>
      </c>
      <c r="J22" s="346">
        <v>8.9400000000000005E-4</v>
      </c>
    </row>
    <row r="23" spans="1:10" x14ac:dyDescent="0.25">
      <c r="A23" s="341">
        <v>22</v>
      </c>
      <c r="B23" s="342" t="s">
        <v>1878</v>
      </c>
      <c r="C23" s="343">
        <v>14.69</v>
      </c>
      <c r="D23" s="343">
        <v>12.5</v>
      </c>
      <c r="E23" s="343">
        <v>25</v>
      </c>
      <c r="F23" s="341">
        <v>0.5</v>
      </c>
      <c r="G23" s="341">
        <v>0.5</v>
      </c>
      <c r="H23" s="343">
        <v>0.8</v>
      </c>
      <c r="I23" s="340">
        <v>0</v>
      </c>
      <c r="J23" s="341">
        <v>0</v>
      </c>
    </row>
    <row r="24" spans="1:10" x14ac:dyDescent="0.25">
      <c r="A24" s="341">
        <v>23</v>
      </c>
      <c r="B24" s="342" t="s">
        <v>1879</v>
      </c>
      <c r="C24" s="343">
        <v>0</v>
      </c>
      <c r="D24" s="343">
        <v>5.4</v>
      </c>
      <c r="E24" s="343">
        <v>80</v>
      </c>
      <c r="F24" s="341">
        <v>7.0000000000000007E-2</v>
      </c>
      <c r="G24" s="341">
        <v>0.8</v>
      </c>
      <c r="H24" s="343">
        <v>0</v>
      </c>
      <c r="I24" s="340">
        <v>0</v>
      </c>
      <c r="J24" s="346">
        <v>1.6499999999999999E-8</v>
      </c>
    </row>
    <row r="25" spans="1:10" x14ac:dyDescent="0.25">
      <c r="A25" s="341">
        <v>24</v>
      </c>
      <c r="B25" s="342" t="s">
        <v>1880</v>
      </c>
      <c r="C25" s="343">
        <v>0</v>
      </c>
      <c r="D25" s="343">
        <v>0.19</v>
      </c>
      <c r="E25" s="343">
        <v>3.5</v>
      </c>
      <c r="F25" s="341">
        <v>0.05</v>
      </c>
      <c r="G25" s="341">
        <v>0.8</v>
      </c>
      <c r="H25" s="343">
        <v>0.04</v>
      </c>
      <c r="I25" s="340">
        <v>0</v>
      </c>
      <c r="J25" s="346">
        <v>2.0999999999999999E-5</v>
      </c>
    </row>
    <row r="26" spans="1:10" x14ac:dyDescent="0.25">
      <c r="A26" s="341">
        <v>25</v>
      </c>
      <c r="B26" s="342" t="s">
        <v>356</v>
      </c>
      <c r="C26" s="343">
        <v>0.04</v>
      </c>
      <c r="D26" s="343">
        <v>0.1</v>
      </c>
      <c r="E26" s="343">
        <v>24.8</v>
      </c>
      <c r="F26" s="341">
        <v>0</v>
      </c>
      <c r="G26" s="341">
        <v>0.8</v>
      </c>
      <c r="H26" s="343">
        <v>0.15</v>
      </c>
      <c r="I26" s="340">
        <v>0</v>
      </c>
      <c r="J26" s="346">
        <v>8.5699999999999993E-6</v>
      </c>
    </row>
    <row r="27" spans="1:10" x14ac:dyDescent="0.25">
      <c r="A27" s="341">
        <v>26</v>
      </c>
      <c r="B27" s="342" t="s">
        <v>357</v>
      </c>
      <c r="C27" s="343">
        <v>0</v>
      </c>
      <c r="D27" s="343">
        <v>0.04</v>
      </c>
      <c r="E27" s="343">
        <v>7.57</v>
      </c>
      <c r="F27" s="341">
        <v>0.01</v>
      </c>
      <c r="G27" s="341">
        <v>0.8</v>
      </c>
      <c r="H27" s="343">
        <v>0</v>
      </c>
      <c r="I27" s="340">
        <v>0</v>
      </c>
      <c r="J27" s="341">
        <v>0</v>
      </c>
    </row>
    <row r="28" spans="1:10" x14ac:dyDescent="0.25">
      <c r="A28" s="341">
        <v>27</v>
      </c>
      <c r="B28" s="342" t="s">
        <v>1881</v>
      </c>
      <c r="C28" s="343">
        <v>5.0199999999999996</v>
      </c>
      <c r="D28" s="343">
        <v>317.07</v>
      </c>
      <c r="E28" s="343">
        <v>317.07</v>
      </c>
      <c r="F28" s="341">
        <v>1</v>
      </c>
      <c r="G28" s="341">
        <v>1</v>
      </c>
      <c r="H28" s="343">
        <v>0.9</v>
      </c>
      <c r="I28" s="340">
        <v>0</v>
      </c>
      <c r="J28" s="341">
        <v>0</v>
      </c>
    </row>
    <row r="29" spans="1:10" x14ac:dyDescent="0.25">
      <c r="A29" s="341">
        <v>28</v>
      </c>
      <c r="B29" s="342" t="s">
        <v>1882</v>
      </c>
      <c r="C29" s="343">
        <v>0.05</v>
      </c>
      <c r="D29" s="343">
        <v>32.17</v>
      </c>
      <c r="E29" s="343">
        <v>32.17</v>
      </c>
      <c r="F29" s="341">
        <v>1</v>
      </c>
      <c r="G29" s="341">
        <v>1</v>
      </c>
      <c r="H29" s="343">
        <v>0</v>
      </c>
      <c r="I29" s="340">
        <v>0</v>
      </c>
      <c r="J29" s="341">
        <v>0</v>
      </c>
    </row>
    <row r="30" spans="1:10" ht="15.75" thickBot="1" x14ac:dyDescent="0.3">
      <c r="A30" s="348">
        <v>29</v>
      </c>
      <c r="B30" s="349" t="s">
        <v>1883</v>
      </c>
      <c r="C30" s="350">
        <v>15</v>
      </c>
      <c r="D30" s="350">
        <v>326.13</v>
      </c>
      <c r="E30" s="350">
        <v>326.13</v>
      </c>
      <c r="F30" s="348">
        <v>1</v>
      </c>
      <c r="G30" s="348">
        <v>1</v>
      </c>
      <c r="H30" s="350">
        <v>0.31</v>
      </c>
      <c r="I30" s="347">
        <v>0</v>
      </c>
      <c r="J30" s="348">
        <v>0</v>
      </c>
    </row>
  </sheetData>
  <mergeCells count="1">
    <mergeCell ref="A1:J2"/>
  </mergeCells>
  <pageMargins left="0.7" right="0.7" top="0.75" bottom="0.75" header="0.3" footer="0.3"/>
  <pageSetup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32"/>
  <sheetViews>
    <sheetView zoomScale="110" zoomScaleNormal="110" workbookViewId="0">
      <selection sqref="A1:BB1"/>
    </sheetView>
  </sheetViews>
  <sheetFormatPr defaultRowHeight="15" x14ac:dyDescent="0.25"/>
  <cols>
    <col min="1" max="1" width="11.5703125" bestFit="1" customWidth="1"/>
  </cols>
  <sheetData>
    <row r="1" spans="1:54" ht="26.25" customHeight="1" x14ac:dyDescent="0.25">
      <c r="A1" s="440" t="s">
        <v>3072</v>
      </c>
      <c r="B1" s="440"/>
      <c r="C1" s="440"/>
      <c r="D1" s="440"/>
      <c r="E1" s="440"/>
      <c r="F1" s="440"/>
      <c r="G1" s="440"/>
      <c r="H1" s="440"/>
      <c r="I1" s="440"/>
      <c r="J1" s="440"/>
      <c r="K1" s="440"/>
      <c r="L1" s="440"/>
      <c r="M1" s="440"/>
      <c r="N1" s="440"/>
      <c r="O1" s="440"/>
      <c r="P1" s="440"/>
      <c r="Q1" s="440"/>
      <c r="R1" s="440"/>
      <c r="S1" s="440"/>
      <c r="T1" s="440"/>
      <c r="U1" s="440"/>
      <c r="V1" s="440"/>
      <c r="W1" s="440"/>
      <c r="X1" s="440"/>
      <c r="Y1" s="440"/>
      <c r="Z1" s="440"/>
      <c r="AA1" s="440"/>
      <c r="AB1" s="440"/>
      <c r="AC1" s="440"/>
      <c r="AD1" s="440"/>
      <c r="AE1" s="440"/>
      <c r="AF1" s="440"/>
      <c r="AG1" s="440"/>
      <c r="AH1" s="440"/>
      <c r="AI1" s="440"/>
      <c r="AJ1" s="440"/>
      <c r="AK1" s="440"/>
      <c r="AL1" s="440"/>
      <c r="AM1" s="440"/>
      <c r="AN1" s="440"/>
      <c r="AO1" s="440"/>
      <c r="AP1" s="440"/>
      <c r="AQ1" s="440"/>
      <c r="AR1" s="440"/>
      <c r="AS1" s="440"/>
      <c r="AT1" s="440"/>
      <c r="AU1" s="440"/>
      <c r="AV1" s="440"/>
      <c r="AW1" s="440"/>
      <c r="AX1" s="440"/>
      <c r="AY1" s="440"/>
      <c r="AZ1" s="440"/>
      <c r="BA1" s="440"/>
      <c r="BB1" s="440"/>
    </row>
    <row r="2" spans="1:54" ht="15.75" thickBot="1" x14ac:dyDescent="0.3">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row>
    <row r="3" spans="1:54" x14ac:dyDescent="0.25">
      <c r="A3" s="356"/>
      <c r="B3" s="447" t="s">
        <v>2830</v>
      </c>
      <c r="C3" s="447"/>
      <c r="D3" s="356"/>
      <c r="E3" s="356"/>
      <c r="F3" s="356"/>
      <c r="G3" s="356"/>
      <c r="H3" s="356"/>
      <c r="I3" s="356"/>
      <c r="J3" s="356"/>
      <c r="K3" s="356"/>
      <c r="L3" s="356"/>
      <c r="M3" s="356"/>
      <c r="N3" s="357"/>
      <c r="O3" s="357"/>
      <c r="P3" s="356"/>
      <c r="Q3" s="356"/>
      <c r="R3" s="356"/>
      <c r="S3" s="356"/>
      <c r="T3" s="356"/>
      <c r="U3" s="356"/>
      <c r="V3" s="356"/>
      <c r="W3" s="356"/>
      <c r="X3" s="356"/>
      <c r="Y3" s="356"/>
      <c r="Z3" s="356"/>
      <c r="AA3" s="356"/>
    </row>
    <row r="4" spans="1:54" x14ac:dyDescent="0.25">
      <c r="A4" s="358" t="s">
        <v>2936</v>
      </c>
      <c r="B4" s="359">
        <v>4</v>
      </c>
      <c r="C4" s="359">
        <v>5</v>
      </c>
      <c r="D4" s="359">
        <v>6</v>
      </c>
      <c r="E4" s="359">
        <v>7</v>
      </c>
      <c r="F4" s="359">
        <v>8</v>
      </c>
      <c r="G4" s="359">
        <v>9</v>
      </c>
      <c r="H4" s="359">
        <v>10</v>
      </c>
      <c r="I4" s="359">
        <v>11</v>
      </c>
      <c r="J4" s="359">
        <v>12</v>
      </c>
      <c r="K4" s="359">
        <v>13</v>
      </c>
      <c r="L4" s="359">
        <v>14</v>
      </c>
      <c r="M4" s="359">
        <v>15</v>
      </c>
      <c r="N4" s="360">
        <v>16</v>
      </c>
      <c r="O4" s="360">
        <v>17</v>
      </c>
      <c r="P4" s="359">
        <v>18</v>
      </c>
      <c r="Q4" s="359">
        <v>19</v>
      </c>
      <c r="R4" s="359">
        <v>20</v>
      </c>
      <c r="S4" s="359">
        <v>21</v>
      </c>
      <c r="T4" s="359">
        <v>22</v>
      </c>
      <c r="U4" s="359">
        <v>23</v>
      </c>
      <c r="V4" s="359">
        <v>24</v>
      </c>
      <c r="W4" s="359">
        <v>25</v>
      </c>
      <c r="X4" s="359">
        <v>26</v>
      </c>
      <c r="Y4" s="359">
        <v>27</v>
      </c>
      <c r="Z4" s="359">
        <v>28</v>
      </c>
      <c r="AA4" s="359">
        <v>29</v>
      </c>
    </row>
    <row r="5" spans="1:54" x14ac:dyDescent="0.25">
      <c r="A5" s="344">
        <v>4</v>
      </c>
      <c r="B5" s="342">
        <v>0</v>
      </c>
      <c r="C5" s="342">
        <v>0</v>
      </c>
      <c r="D5" s="342">
        <v>0.6</v>
      </c>
      <c r="E5" s="342">
        <v>0.36699999999999999</v>
      </c>
      <c r="F5" s="342">
        <v>3.2000000000000001E-2</v>
      </c>
      <c r="G5" s="342">
        <v>5.8000000000000003E-2</v>
      </c>
      <c r="H5" s="342">
        <v>0.27300000000000002</v>
      </c>
      <c r="I5" s="342">
        <v>0</v>
      </c>
      <c r="J5" s="342">
        <v>0.39700000000000002</v>
      </c>
      <c r="K5" s="342">
        <v>2E-3</v>
      </c>
      <c r="L5" s="342">
        <v>0</v>
      </c>
      <c r="M5" s="342">
        <v>0</v>
      </c>
      <c r="N5" s="353">
        <v>4.0000000000000001E-3</v>
      </c>
      <c r="O5" s="353">
        <v>0</v>
      </c>
      <c r="P5" s="342">
        <v>0</v>
      </c>
      <c r="Q5" s="342">
        <v>0</v>
      </c>
      <c r="R5" s="342">
        <v>0.111</v>
      </c>
      <c r="S5" s="342">
        <v>0.224</v>
      </c>
      <c r="T5" s="342">
        <v>1.7999999999999999E-2</v>
      </c>
      <c r="U5" s="342">
        <v>0</v>
      </c>
      <c r="V5" s="342">
        <v>0</v>
      </c>
      <c r="W5" s="342">
        <v>0</v>
      </c>
      <c r="X5" s="342">
        <v>0</v>
      </c>
      <c r="Y5" s="342">
        <v>0</v>
      </c>
      <c r="Z5" s="342">
        <v>0</v>
      </c>
      <c r="AA5" s="342">
        <v>0</v>
      </c>
    </row>
    <row r="6" spans="1:54" x14ac:dyDescent="0.25">
      <c r="A6" s="344">
        <v>5</v>
      </c>
      <c r="B6" s="342">
        <v>0</v>
      </c>
      <c r="C6" s="342">
        <v>0</v>
      </c>
      <c r="D6" s="342">
        <v>0</v>
      </c>
      <c r="E6" s="342">
        <v>0</v>
      </c>
      <c r="F6" s="342">
        <v>6.4000000000000001E-2</v>
      </c>
      <c r="G6" s="342">
        <v>0</v>
      </c>
      <c r="H6" s="342">
        <v>0</v>
      </c>
      <c r="I6" s="342">
        <v>0</v>
      </c>
      <c r="J6" s="342">
        <v>0</v>
      </c>
      <c r="K6" s="342">
        <v>1.2999999999999999E-2</v>
      </c>
      <c r="L6" s="342">
        <v>0.29399999999999998</v>
      </c>
      <c r="M6" s="342">
        <v>3.9E-2</v>
      </c>
      <c r="N6" s="353">
        <v>0.05</v>
      </c>
      <c r="O6" s="353">
        <v>2.7E-2</v>
      </c>
      <c r="P6" s="342">
        <v>0</v>
      </c>
      <c r="Q6" s="342">
        <v>0</v>
      </c>
      <c r="R6" s="342">
        <v>0.19900000000000001</v>
      </c>
      <c r="S6" s="342">
        <v>0.40500000000000003</v>
      </c>
      <c r="T6" s="342">
        <v>0.30199999999999999</v>
      </c>
      <c r="U6" s="342">
        <v>0</v>
      </c>
      <c r="V6" s="342">
        <v>0.45900000000000002</v>
      </c>
      <c r="W6" s="342">
        <v>0</v>
      </c>
      <c r="X6" s="342">
        <v>0</v>
      </c>
      <c r="Y6" s="342">
        <v>0</v>
      </c>
      <c r="Z6" s="342">
        <v>0</v>
      </c>
      <c r="AA6" s="342">
        <v>0</v>
      </c>
    </row>
    <row r="7" spans="1:54" x14ac:dyDescent="0.25">
      <c r="A7" s="344">
        <v>6</v>
      </c>
      <c r="B7" s="342">
        <v>0</v>
      </c>
      <c r="C7" s="342">
        <v>0</v>
      </c>
      <c r="D7" s="342">
        <v>0.15</v>
      </c>
      <c r="E7" s="342">
        <v>0.20599999999999999</v>
      </c>
      <c r="F7" s="342">
        <v>0</v>
      </c>
      <c r="G7" s="342">
        <v>0</v>
      </c>
      <c r="H7" s="342">
        <v>0.14499999999999999</v>
      </c>
      <c r="I7" s="342">
        <v>6.9000000000000006E-2</v>
      </c>
      <c r="J7" s="342">
        <v>0.17499999999999999</v>
      </c>
      <c r="K7" s="342">
        <v>0</v>
      </c>
      <c r="L7" s="342">
        <v>0</v>
      </c>
      <c r="M7" s="342">
        <v>0</v>
      </c>
      <c r="N7" s="353">
        <v>0</v>
      </c>
      <c r="O7" s="353">
        <v>0</v>
      </c>
      <c r="P7" s="342">
        <v>0</v>
      </c>
      <c r="Q7" s="342">
        <v>0</v>
      </c>
      <c r="R7" s="342">
        <v>0</v>
      </c>
      <c r="S7" s="342">
        <v>0</v>
      </c>
      <c r="T7" s="342">
        <v>0</v>
      </c>
      <c r="U7" s="342">
        <v>0</v>
      </c>
      <c r="V7" s="342">
        <v>0</v>
      </c>
      <c r="W7" s="342">
        <v>7.0000000000000001E-3</v>
      </c>
      <c r="X7" s="342">
        <v>0</v>
      </c>
      <c r="Y7" s="342">
        <v>0</v>
      </c>
      <c r="Z7" s="342">
        <v>0</v>
      </c>
      <c r="AA7" s="342">
        <v>0</v>
      </c>
    </row>
    <row r="8" spans="1:54" x14ac:dyDescent="0.25">
      <c r="A8" s="344">
        <v>7</v>
      </c>
      <c r="B8" s="342">
        <v>0</v>
      </c>
      <c r="C8" s="342">
        <v>0</v>
      </c>
      <c r="D8" s="342">
        <v>0</v>
      </c>
      <c r="E8" s="342">
        <v>0.255</v>
      </c>
      <c r="F8" s="342">
        <v>0.35799999999999998</v>
      </c>
      <c r="G8" s="342">
        <v>0.06</v>
      </c>
      <c r="H8" s="342">
        <v>0.28999999999999998</v>
      </c>
      <c r="I8" s="342">
        <v>0.54100000000000004</v>
      </c>
      <c r="J8" s="342">
        <v>0.40200000000000002</v>
      </c>
      <c r="K8" s="342">
        <v>0.68200000000000005</v>
      </c>
      <c r="L8" s="342">
        <v>0.36699999999999999</v>
      </c>
      <c r="M8" s="342">
        <v>4.3999999999999997E-2</v>
      </c>
      <c r="N8" s="353">
        <v>0.17100000000000001</v>
      </c>
      <c r="O8" s="353">
        <v>0</v>
      </c>
      <c r="P8" s="342">
        <v>5.8000000000000003E-2</v>
      </c>
      <c r="Q8" s="342">
        <v>0.314</v>
      </c>
      <c r="R8" s="342">
        <v>0.06</v>
      </c>
      <c r="S8" s="342">
        <v>0</v>
      </c>
      <c r="T8" s="342">
        <v>4.0000000000000001E-3</v>
      </c>
      <c r="U8" s="342">
        <v>0</v>
      </c>
      <c r="V8" s="342">
        <v>0.17599999999999999</v>
      </c>
      <c r="W8" s="342">
        <v>0</v>
      </c>
      <c r="X8" s="342">
        <v>0.2</v>
      </c>
      <c r="Y8" s="342">
        <v>0</v>
      </c>
      <c r="Z8" s="342">
        <v>0</v>
      </c>
      <c r="AA8" s="342">
        <v>0</v>
      </c>
    </row>
    <row r="9" spans="1:54" x14ac:dyDescent="0.25">
      <c r="A9" s="344">
        <v>8</v>
      </c>
      <c r="B9" s="342">
        <v>0</v>
      </c>
      <c r="C9" s="342">
        <v>0</v>
      </c>
      <c r="D9" s="342">
        <v>0</v>
      </c>
      <c r="E9" s="342">
        <v>0</v>
      </c>
      <c r="F9" s="342">
        <v>0</v>
      </c>
      <c r="G9" s="342">
        <v>0</v>
      </c>
      <c r="H9" s="342">
        <v>6.0000000000000001E-3</v>
      </c>
      <c r="I9" s="342">
        <v>1.9E-2</v>
      </c>
      <c r="J9" s="342">
        <v>0</v>
      </c>
      <c r="K9" s="342">
        <v>1.2E-2</v>
      </c>
      <c r="L9" s="342">
        <v>8.9999999999999993E-3</v>
      </c>
      <c r="M9" s="342">
        <v>1E-3</v>
      </c>
      <c r="N9" s="353">
        <v>4.1000000000000002E-2</v>
      </c>
      <c r="O9" s="353">
        <v>7.0000000000000001E-3</v>
      </c>
      <c r="P9" s="342">
        <v>1E-3</v>
      </c>
      <c r="Q9" s="342">
        <v>2.1000000000000001E-2</v>
      </c>
      <c r="R9" s="342">
        <v>0</v>
      </c>
      <c r="S9" s="342">
        <v>0</v>
      </c>
      <c r="T9" s="342">
        <v>0</v>
      </c>
      <c r="U9" s="342">
        <v>0</v>
      </c>
      <c r="V9" s="342">
        <v>0</v>
      </c>
      <c r="W9" s="342">
        <v>0</v>
      </c>
      <c r="X9" s="342">
        <v>0</v>
      </c>
      <c r="Y9" s="342">
        <v>0</v>
      </c>
      <c r="Z9" s="342">
        <v>0</v>
      </c>
      <c r="AA9" s="342">
        <v>0</v>
      </c>
    </row>
    <row r="10" spans="1:54" x14ac:dyDescent="0.25">
      <c r="A10" s="344">
        <v>9</v>
      </c>
      <c r="B10" s="342">
        <v>0</v>
      </c>
      <c r="C10" s="342">
        <v>0</v>
      </c>
      <c r="D10" s="342">
        <v>0</v>
      </c>
      <c r="E10" s="342">
        <v>0</v>
      </c>
      <c r="F10" s="342">
        <v>0</v>
      </c>
      <c r="G10" s="342">
        <v>0</v>
      </c>
      <c r="H10" s="342">
        <v>0</v>
      </c>
      <c r="I10" s="342">
        <v>5.0999999999999997E-2</v>
      </c>
      <c r="J10" s="342">
        <v>0</v>
      </c>
      <c r="K10" s="342">
        <v>0</v>
      </c>
      <c r="L10" s="342">
        <v>0</v>
      </c>
      <c r="M10" s="342">
        <v>0</v>
      </c>
      <c r="N10" s="353">
        <v>0</v>
      </c>
      <c r="O10" s="353">
        <v>0</v>
      </c>
      <c r="P10" s="342">
        <v>0</v>
      </c>
      <c r="Q10" s="342">
        <v>2.7E-2</v>
      </c>
      <c r="R10" s="342">
        <v>0</v>
      </c>
      <c r="S10" s="342">
        <v>0</v>
      </c>
      <c r="T10" s="342">
        <v>0</v>
      </c>
      <c r="U10" s="342">
        <v>0</v>
      </c>
      <c r="V10" s="342">
        <v>0</v>
      </c>
      <c r="W10" s="342">
        <v>0</v>
      </c>
      <c r="X10" s="342">
        <v>0.2</v>
      </c>
      <c r="Y10" s="342">
        <v>0</v>
      </c>
      <c r="Z10" s="342">
        <v>0</v>
      </c>
      <c r="AA10" s="342">
        <v>0</v>
      </c>
    </row>
    <row r="11" spans="1:54" x14ac:dyDescent="0.25">
      <c r="A11" s="344">
        <v>10</v>
      </c>
      <c r="B11" s="342">
        <v>0</v>
      </c>
      <c r="C11" s="342">
        <v>0</v>
      </c>
      <c r="D11" s="342">
        <v>0</v>
      </c>
      <c r="E11" s="342">
        <v>0</v>
      </c>
      <c r="F11" s="342">
        <v>0</v>
      </c>
      <c r="G11" s="342">
        <v>0</v>
      </c>
      <c r="H11" s="342">
        <v>8.8999999999999996E-2</v>
      </c>
      <c r="I11" s="342">
        <v>0.17399999999999999</v>
      </c>
      <c r="J11" s="342">
        <v>0</v>
      </c>
      <c r="K11" s="342">
        <v>1E-3</v>
      </c>
      <c r="L11" s="342">
        <v>1.4999999999999999E-2</v>
      </c>
      <c r="M11" s="342">
        <v>0</v>
      </c>
      <c r="N11" s="353">
        <v>0</v>
      </c>
      <c r="O11" s="353">
        <v>0</v>
      </c>
      <c r="P11" s="342">
        <v>0</v>
      </c>
      <c r="Q11" s="342">
        <v>4.2999999999999997E-2</v>
      </c>
      <c r="R11" s="342">
        <v>0</v>
      </c>
      <c r="S11" s="342">
        <v>0</v>
      </c>
      <c r="T11" s="342">
        <v>0</v>
      </c>
      <c r="U11" s="342">
        <v>0</v>
      </c>
      <c r="V11" s="342">
        <v>9.7000000000000003E-2</v>
      </c>
      <c r="W11" s="342">
        <v>0</v>
      </c>
      <c r="X11" s="342">
        <v>0</v>
      </c>
      <c r="Y11" s="342">
        <v>0</v>
      </c>
      <c r="Z11" s="342">
        <v>0</v>
      </c>
      <c r="AA11" s="342">
        <v>0</v>
      </c>
    </row>
    <row r="12" spans="1:54" x14ac:dyDescent="0.25">
      <c r="A12" s="344">
        <v>11</v>
      </c>
      <c r="B12" s="342">
        <v>0</v>
      </c>
      <c r="C12" s="342">
        <v>0</v>
      </c>
      <c r="D12" s="342">
        <v>0</v>
      </c>
      <c r="E12" s="342">
        <v>0</v>
      </c>
      <c r="F12" s="342">
        <v>0</v>
      </c>
      <c r="G12" s="342">
        <v>0</v>
      </c>
      <c r="H12" s="342">
        <v>0</v>
      </c>
      <c r="I12" s="342">
        <v>9.8000000000000004E-2</v>
      </c>
      <c r="J12" s="342">
        <v>0</v>
      </c>
      <c r="K12" s="342">
        <v>0</v>
      </c>
      <c r="L12" s="342">
        <v>1.2E-2</v>
      </c>
      <c r="M12" s="342">
        <v>0</v>
      </c>
      <c r="N12" s="353">
        <v>3.0000000000000001E-3</v>
      </c>
      <c r="O12" s="353">
        <v>0</v>
      </c>
      <c r="P12" s="342">
        <v>0</v>
      </c>
      <c r="Q12" s="342">
        <v>0</v>
      </c>
      <c r="R12" s="342">
        <v>0</v>
      </c>
      <c r="S12" s="342">
        <v>0</v>
      </c>
      <c r="T12" s="342">
        <v>0</v>
      </c>
      <c r="U12" s="342">
        <v>0</v>
      </c>
      <c r="V12" s="342">
        <v>0.20899999999999999</v>
      </c>
      <c r="W12" s="342">
        <v>0</v>
      </c>
      <c r="X12" s="342">
        <v>0</v>
      </c>
      <c r="Y12" s="342">
        <v>0</v>
      </c>
      <c r="Z12" s="342">
        <v>0</v>
      </c>
      <c r="AA12" s="342">
        <v>0</v>
      </c>
    </row>
    <row r="13" spans="1:54" x14ac:dyDescent="0.25">
      <c r="A13" s="344">
        <v>12</v>
      </c>
      <c r="B13" s="342">
        <v>0</v>
      </c>
      <c r="C13" s="342">
        <v>0</v>
      </c>
      <c r="D13" s="342">
        <v>0</v>
      </c>
      <c r="E13" s="342">
        <v>0</v>
      </c>
      <c r="F13" s="342">
        <v>0</v>
      </c>
      <c r="G13" s="342">
        <v>0</v>
      </c>
      <c r="H13" s="342">
        <v>0</v>
      </c>
      <c r="I13" s="342">
        <v>0</v>
      </c>
      <c r="J13" s="342">
        <v>0</v>
      </c>
      <c r="K13" s="342">
        <v>0</v>
      </c>
      <c r="L13" s="342">
        <v>5.0000000000000001E-3</v>
      </c>
      <c r="M13" s="342">
        <v>0</v>
      </c>
      <c r="N13" s="353">
        <v>7.0000000000000001E-3</v>
      </c>
      <c r="O13" s="353">
        <v>7.4999999999999997E-2</v>
      </c>
      <c r="P13" s="342">
        <v>4.3999999999999997E-2</v>
      </c>
      <c r="Q13" s="342">
        <v>0</v>
      </c>
      <c r="R13" s="342">
        <v>0</v>
      </c>
      <c r="S13" s="342">
        <v>0</v>
      </c>
      <c r="T13" s="342">
        <v>0</v>
      </c>
      <c r="U13" s="342">
        <v>0.14000000000000001</v>
      </c>
      <c r="V13" s="342">
        <v>1E-3</v>
      </c>
      <c r="W13" s="342">
        <v>1.2E-2</v>
      </c>
      <c r="X13" s="342">
        <v>0.02</v>
      </c>
      <c r="Y13" s="342">
        <v>0</v>
      </c>
      <c r="Z13" s="342">
        <v>0</v>
      </c>
      <c r="AA13" s="342">
        <v>0</v>
      </c>
    </row>
    <row r="14" spans="1:54" x14ac:dyDescent="0.25">
      <c r="A14" s="344">
        <v>13</v>
      </c>
      <c r="B14" s="342">
        <v>0</v>
      </c>
      <c r="C14" s="342">
        <v>0</v>
      </c>
      <c r="D14" s="342">
        <v>0</v>
      </c>
      <c r="E14" s="342">
        <v>0</v>
      </c>
      <c r="F14" s="342">
        <v>0</v>
      </c>
      <c r="G14" s="342">
        <v>0</v>
      </c>
      <c r="H14" s="342">
        <v>0</v>
      </c>
      <c r="I14" s="342">
        <v>0</v>
      </c>
      <c r="J14" s="342">
        <v>0</v>
      </c>
      <c r="K14" s="342">
        <v>2.1999999999999999E-2</v>
      </c>
      <c r="L14" s="342">
        <v>7.0000000000000001E-3</v>
      </c>
      <c r="M14" s="342">
        <v>0</v>
      </c>
      <c r="N14" s="353">
        <v>1.2E-2</v>
      </c>
      <c r="O14" s="353">
        <v>2.8000000000000001E-2</v>
      </c>
      <c r="P14" s="342">
        <v>0.193</v>
      </c>
      <c r="Q14" s="342">
        <v>0</v>
      </c>
      <c r="R14" s="342">
        <v>0</v>
      </c>
      <c r="S14" s="342">
        <v>0</v>
      </c>
      <c r="T14" s="342">
        <v>0</v>
      </c>
      <c r="U14" s="342">
        <v>0.245</v>
      </c>
      <c r="V14" s="342">
        <v>1E-3</v>
      </c>
      <c r="W14" s="342">
        <v>2.3E-2</v>
      </c>
      <c r="X14" s="342">
        <v>0.04</v>
      </c>
      <c r="Y14" s="342">
        <v>0</v>
      </c>
      <c r="Z14" s="342">
        <v>0</v>
      </c>
      <c r="AA14" s="342">
        <v>0</v>
      </c>
    </row>
    <row r="15" spans="1:54" x14ac:dyDescent="0.25">
      <c r="A15" s="344">
        <v>14</v>
      </c>
      <c r="B15" s="342">
        <v>0</v>
      </c>
      <c r="C15" s="342">
        <v>0</v>
      </c>
      <c r="D15" s="342">
        <v>0</v>
      </c>
      <c r="E15" s="342">
        <v>0</v>
      </c>
      <c r="F15" s="342">
        <v>0</v>
      </c>
      <c r="G15" s="342">
        <v>0</v>
      </c>
      <c r="H15" s="342">
        <v>0</v>
      </c>
      <c r="I15" s="342">
        <v>0</v>
      </c>
      <c r="J15" s="342">
        <v>0</v>
      </c>
      <c r="K15" s="342">
        <v>0</v>
      </c>
      <c r="L15" s="342">
        <v>1.4999999999999999E-2</v>
      </c>
      <c r="M15" s="342">
        <v>3.7999999999999999E-2</v>
      </c>
      <c r="N15" s="353">
        <v>4.0000000000000001E-3</v>
      </c>
      <c r="O15" s="353">
        <v>0.23899999999999999</v>
      </c>
      <c r="P15" s="342">
        <v>0.25</v>
      </c>
      <c r="Q15" s="342">
        <v>0.20799999999999999</v>
      </c>
      <c r="R15" s="342">
        <v>0</v>
      </c>
      <c r="S15" s="342">
        <v>0</v>
      </c>
      <c r="T15" s="342">
        <v>0</v>
      </c>
      <c r="U15" s="342">
        <v>6.2E-2</v>
      </c>
      <c r="V15" s="342">
        <v>0</v>
      </c>
      <c r="W15" s="342">
        <v>0.28100000000000003</v>
      </c>
      <c r="X15" s="342">
        <v>0.42</v>
      </c>
      <c r="Y15" s="342">
        <v>0</v>
      </c>
      <c r="Z15" s="342">
        <v>0</v>
      </c>
      <c r="AA15" s="342">
        <v>0</v>
      </c>
    </row>
    <row r="16" spans="1:54" x14ac:dyDescent="0.25">
      <c r="A16" s="344">
        <v>15</v>
      </c>
      <c r="B16" s="342">
        <v>0</v>
      </c>
      <c r="C16" s="342">
        <v>0</v>
      </c>
      <c r="D16" s="342">
        <v>0</v>
      </c>
      <c r="E16" s="342">
        <v>0</v>
      </c>
      <c r="F16" s="342">
        <v>0</v>
      </c>
      <c r="G16" s="342">
        <v>0</v>
      </c>
      <c r="H16" s="342">
        <v>0</v>
      </c>
      <c r="I16" s="342">
        <v>0</v>
      </c>
      <c r="J16" s="342">
        <v>0</v>
      </c>
      <c r="K16" s="342">
        <v>0</v>
      </c>
      <c r="L16" s="342">
        <v>0</v>
      </c>
      <c r="M16" s="342">
        <v>1.2999999999999999E-2</v>
      </c>
      <c r="N16" s="353">
        <v>3.0000000000000001E-3</v>
      </c>
      <c r="O16" s="353">
        <v>4.0000000000000001E-3</v>
      </c>
      <c r="P16" s="342">
        <v>1.2999999999999999E-2</v>
      </c>
      <c r="Q16" s="342">
        <v>0</v>
      </c>
      <c r="R16" s="342">
        <v>0</v>
      </c>
      <c r="S16" s="342">
        <v>0</v>
      </c>
      <c r="T16" s="342">
        <v>0</v>
      </c>
      <c r="U16" s="342">
        <v>5.1999999999999998E-2</v>
      </c>
      <c r="V16" s="342">
        <v>0</v>
      </c>
      <c r="W16" s="342">
        <v>2.1000000000000001E-2</v>
      </c>
      <c r="X16" s="342">
        <v>0.06</v>
      </c>
      <c r="Y16" s="342">
        <v>0</v>
      </c>
      <c r="Z16" s="342">
        <v>0</v>
      </c>
      <c r="AA16" s="342">
        <v>0</v>
      </c>
    </row>
    <row r="17" spans="1:27" x14ac:dyDescent="0.25">
      <c r="A17" s="344">
        <v>16</v>
      </c>
      <c r="B17" s="342">
        <v>0</v>
      </c>
      <c r="C17" s="342">
        <v>0</v>
      </c>
      <c r="D17" s="342">
        <v>0</v>
      </c>
      <c r="E17" s="342">
        <v>0</v>
      </c>
      <c r="F17" s="342">
        <v>2.5999999999999999E-2</v>
      </c>
      <c r="G17" s="342">
        <v>0</v>
      </c>
      <c r="H17" s="342">
        <v>0</v>
      </c>
      <c r="I17" s="342">
        <v>0</v>
      </c>
      <c r="J17" s="342">
        <v>0</v>
      </c>
      <c r="K17" s="342">
        <v>0</v>
      </c>
      <c r="L17" s="342">
        <v>0</v>
      </c>
      <c r="M17" s="342">
        <v>0.52900000000000003</v>
      </c>
      <c r="N17" s="353">
        <v>0.16800000000000001</v>
      </c>
      <c r="O17" s="353">
        <v>0.13500000000000001</v>
      </c>
      <c r="P17" s="342">
        <v>4.1000000000000002E-2</v>
      </c>
      <c r="Q17" s="342">
        <v>2E-3</v>
      </c>
      <c r="R17" s="342">
        <v>4.5999999999999999E-2</v>
      </c>
      <c r="S17" s="342">
        <v>0</v>
      </c>
      <c r="T17" s="342">
        <v>0</v>
      </c>
      <c r="U17" s="342">
        <v>0.48299999999999998</v>
      </c>
      <c r="V17" s="342">
        <v>2E-3</v>
      </c>
      <c r="W17" s="342">
        <v>0.128</v>
      </c>
      <c r="X17" s="342">
        <v>0.04</v>
      </c>
      <c r="Y17" s="342">
        <v>0</v>
      </c>
      <c r="Z17" s="342">
        <v>0</v>
      </c>
      <c r="AA17" s="342">
        <v>0</v>
      </c>
    </row>
    <row r="18" spans="1:27" x14ac:dyDescent="0.25">
      <c r="A18" s="344">
        <v>17</v>
      </c>
      <c r="B18" s="342">
        <v>0</v>
      </c>
      <c r="C18" s="342">
        <v>0</v>
      </c>
      <c r="D18" s="342">
        <v>0</v>
      </c>
      <c r="E18" s="342">
        <v>0</v>
      </c>
      <c r="F18" s="342">
        <v>0</v>
      </c>
      <c r="G18" s="342">
        <v>0</v>
      </c>
      <c r="H18" s="342">
        <v>0</v>
      </c>
      <c r="I18" s="342">
        <v>0</v>
      </c>
      <c r="J18" s="342">
        <v>0</v>
      </c>
      <c r="K18" s="342">
        <v>0</v>
      </c>
      <c r="L18" s="342">
        <v>0</v>
      </c>
      <c r="M18" s="342">
        <v>0</v>
      </c>
      <c r="N18" s="353">
        <v>0</v>
      </c>
      <c r="O18" s="353">
        <v>0</v>
      </c>
      <c r="P18" s="342">
        <v>0</v>
      </c>
      <c r="Q18" s="342">
        <v>0</v>
      </c>
      <c r="R18" s="342">
        <v>0</v>
      </c>
      <c r="S18" s="342">
        <v>0</v>
      </c>
      <c r="T18" s="342">
        <v>0</v>
      </c>
      <c r="U18" s="342">
        <v>0</v>
      </c>
      <c r="V18" s="342">
        <v>0</v>
      </c>
      <c r="W18" s="342">
        <v>0</v>
      </c>
      <c r="X18" s="342">
        <v>0</v>
      </c>
      <c r="Y18" s="342">
        <v>0</v>
      </c>
      <c r="Z18" s="342">
        <v>0</v>
      </c>
      <c r="AA18" s="342">
        <v>0</v>
      </c>
    </row>
    <row r="19" spans="1:27" x14ac:dyDescent="0.25">
      <c r="A19" s="344">
        <v>18</v>
      </c>
      <c r="B19" s="342">
        <v>0</v>
      </c>
      <c r="C19" s="342">
        <v>0</v>
      </c>
      <c r="D19" s="342">
        <v>0</v>
      </c>
      <c r="E19" s="342">
        <v>0</v>
      </c>
      <c r="F19" s="342">
        <v>0</v>
      </c>
      <c r="G19" s="342">
        <v>0</v>
      </c>
      <c r="H19" s="342">
        <v>0</v>
      </c>
      <c r="I19" s="342">
        <v>0</v>
      </c>
      <c r="J19" s="342">
        <v>0</v>
      </c>
      <c r="K19" s="342">
        <v>0</v>
      </c>
      <c r="L19" s="342">
        <v>0</v>
      </c>
      <c r="M19" s="342">
        <v>0</v>
      </c>
      <c r="N19" s="353">
        <v>0</v>
      </c>
      <c r="O19" s="353">
        <v>6.7000000000000004E-2</v>
      </c>
      <c r="P19" s="342">
        <v>0.04</v>
      </c>
      <c r="Q19" s="342">
        <v>0</v>
      </c>
      <c r="R19" s="342">
        <v>0</v>
      </c>
      <c r="S19" s="342">
        <v>0</v>
      </c>
      <c r="T19" s="342">
        <v>0</v>
      </c>
      <c r="U19" s="342">
        <v>1.4E-2</v>
      </c>
      <c r="V19" s="342">
        <v>0</v>
      </c>
      <c r="W19" s="342">
        <v>8.0000000000000002E-3</v>
      </c>
      <c r="X19" s="342">
        <v>0.02</v>
      </c>
      <c r="Y19" s="342">
        <v>0</v>
      </c>
      <c r="Z19" s="342">
        <v>0</v>
      </c>
      <c r="AA19" s="342">
        <v>0</v>
      </c>
    </row>
    <row r="20" spans="1:27" x14ac:dyDescent="0.25">
      <c r="A20" s="344">
        <v>19</v>
      </c>
      <c r="B20" s="342">
        <v>0</v>
      </c>
      <c r="C20" s="342">
        <v>0</v>
      </c>
      <c r="D20" s="342">
        <v>0</v>
      </c>
      <c r="E20" s="342">
        <v>0</v>
      </c>
      <c r="F20" s="342">
        <v>1.2999999999999999E-2</v>
      </c>
      <c r="G20" s="342">
        <v>0</v>
      </c>
      <c r="H20" s="342">
        <v>0</v>
      </c>
      <c r="I20" s="342">
        <v>0</v>
      </c>
      <c r="J20" s="342">
        <v>0</v>
      </c>
      <c r="K20" s="342">
        <v>0</v>
      </c>
      <c r="L20" s="342">
        <v>0</v>
      </c>
      <c r="M20" s="342">
        <v>0</v>
      </c>
      <c r="N20" s="353">
        <v>7.0000000000000001E-3</v>
      </c>
      <c r="O20" s="353">
        <v>4.2999999999999997E-2</v>
      </c>
      <c r="P20" s="342">
        <v>6.4000000000000001E-2</v>
      </c>
      <c r="Q20" s="342">
        <v>0.104</v>
      </c>
      <c r="R20" s="342">
        <v>0</v>
      </c>
      <c r="S20" s="342">
        <v>0</v>
      </c>
      <c r="T20" s="342">
        <v>0</v>
      </c>
      <c r="U20" s="342">
        <v>1E-3</v>
      </c>
      <c r="V20" s="342">
        <v>6.0000000000000001E-3</v>
      </c>
      <c r="W20" s="342">
        <v>0.39700000000000002</v>
      </c>
      <c r="X20" s="342">
        <v>0</v>
      </c>
      <c r="Y20" s="342">
        <v>0</v>
      </c>
      <c r="Z20" s="342">
        <v>0</v>
      </c>
      <c r="AA20" s="342">
        <v>0</v>
      </c>
    </row>
    <row r="21" spans="1:27" x14ac:dyDescent="0.25">
      <c r="A21" s="344">
        <v>20</v>
      </c>
      <c r="B21" s="342">
        <v>0</v>
      </c>
      <c r="C21" s="342">
        <v>0</v>
      </c>
      <c r="D21" s="342">
        <v>0</v>
      </c>
      <c r="E21" s="342">
        <v>0</v>
      </c>
      <c r="F21" s="342">
        <v>5.1999999999999998E-2</v>
      </c>
      <c r="G21" s="342">
        <v>0</v>
      </c>
      <c r="H21" s="342">
        <v>0</v>
      </c>
      <c r="I21" s="342">
        <v>0</v>
      </c>
      <c r="J21" s="342">
        <v>0</v>
      </c>
      <c r="K21" s="342">
        <v>6.0999999999999999E-2</v>
      </c>
      <c r="L21" s="342">
        <v>3.9E-2</v>
      </c>
      <c r="M21" s="342">
        <v>0.125</v>
      </c>
      <c r="N21" s="353">
        <v>0.27800000000000002</v>
      </c>
      <c r="O21" s="353">
        <v>0.36699999999999999</v>
      </c>
      <c r="P21" s="342">
        <v>0.21299999999999999</v>
      </c>
      <c r="Q21" s="342">
        <v>4.9000000000000002E-2</v>
      </c>
      <c r="R21" s="342">
        <v>0.109</v>
      </c>
      <c r="S21" s="342">
        <v>0</v>
      </c>
      <c r="T21" s="342">
        <v>0.05</v>
      </c>
      <c r="U21" s="342">
        <v>0</v>
      </c>
      <c r="V21" s="342">
        <v>2.8000000000000001E-2</v>
      </c>
      <c r="W21" s="342">
        <v>0</v>
      </c>
      <c r="X21" s="342">
        <v>0</v>
      </c>
      <c r="Y21" s="342">
        <v>0</v>
      </c>
      <c r="Z21" s="342">
        <v>0</v>
      </c>
      <c r="AA21" s="342">
        <v>0</v>
      </c>
    </row>
    <row r="22" spans="1:27" x14ac:dyDescent="0.25">
      <c r="A22" s="344">
        <v>21</v>
      </c>
      <c r="B22" s="342">
        <v>0</v>
      </c>
      <c r="C22" s="342">
        <v>0</v>
      </c>
      <c r="D22" s="342">
        <v>0</v>
      </c>
      <c r="E22" s="342">
        <v>0</v>
      </c>
      <c r="F22" s="342">
        <v>0</v>
      </c>
      <c r="G22" s="342">
        <v>0</v>
      </c>
      <c r="H22" s="342">
        <v>0</v>
      </c>
      <c r="I22" s="342">
        <v>0</v>
      </c>
      <c r="J22" s="342">
        <v>0</v>
      </c>
      <c r="K22" s="342">
        <v>7.0000000000000001E-3</v>
      </c>
      <c r="L22" s="342">
        <v>1E-3</v>
      </c>
      <c r="M22" s="342">
        <v>5.1999999999999998E-2</v>
      </c>
      <c r="N22" s="353">
        <v>1.7000000000000001E-2</v>
      </c>
      <c r="O22" s="353">
        <v>1E-3</v>
      </c>
      <c r="P22" s="342">
        <v>1.7999999999999999E-2</v>
      </c>
      <c r="Q22" s="342">
        <v>0</v>
      </c>
      <c r="R22" s="342">
        <v>9.6000000000000002E-2</v>
      </c>
      <c r="S22" s="342">
        <v>0</v>
      </c>
      <c r="T22" s="342">
        <v>3.2000000000000001E-2</v>
      </c>
      <c r="U22" s="342">
        <v>0</v>
      </c>
      <c r="V22" s="342">
        <v>0</v>
      </c>
      <c r="W22" s="342">
        <v>0</v>
      </c>
      <c r="X22" s="342">
        <v>0</v>
      </c>
      <c r="Y22" s="342">
        <v>0</v>
      </c>
      <c r="Z22" s="342">
        <v>0</v>
      </c>
      <c r="AA22" s="342">
        <v>0</v>
      </c>
    </row>
    <row r="23" spans="1:27" x14ac:dyDescent="0.25">
      <c r="A23" s="344">
        <v>22</v>
      </c>
      <c r="B23" s="342">
        <v>0</v>
      </c>
      <c r="C23" s="342">
        <v>0</v>
      </c>
      <c r="D23" s="342">
        <v>0</v>
      </c>
      <c r="E23" s="342">
        <v>0</v>
      </c>
      <c r="F23" s="342">
        <v>9.2999999999999999E-2</v>
      </c>
      <c r="G23" s="342">
        <v>0</v>
      </c>
      <c r="H23" s="342">
        <v>0</v>
      </c>
      <c r="I23" s="342">
        <v>0</v>
      </c>
      <c r="J23" s="342">
        <v>0</v>
      </c>
      <c r="K23" s="342">
        <v>1.9E-2</v>
      </c>
      <c r="L23" s="342">
        <v>3.0000000000000001E-3</v>
      </c>
      <c r="M23" s="342">
        <v>0</v>
      </c>
      <c r="N23" s="353">
        <v>0.13</v>
      </c>
      <c r="O23" s="353">
        <v>8.0000000000000002E-3</v>
      </c>
      <c r="P23" s="342">
        <v>8.9999999999999993E-3</v>
      </c>
      <c r="Q23" s="342">
        <v>5.2999999999999999E-2</v>
      </c>
      <c r="R23" s="342">
        <v>6.4000000000000001E-2</v>
      </c>
      <c r="S23" s="342">
        <v>0</v>
      </c>
      <c r="T23" s="342">
        <v>0.125</v>
      </c>
      <c r="U23" s="342">
        <v>0</v>
      </c>
      <c r="V23" s="342">
        <v>0</v>
      </c>
      <c r="W23" s="342">
        <v>0</v>
      </c>
      <c r="X23" s="342">
        <v>0</v>
      </c>
      <c r="Y23" s="342">
        <v>0</v>
      </c>
      <c r="Z23" s="342">
        <v>0</v>
      </c>
      <c r="AA23" s="342">
        <v>0</v>
      </c>
    </row>
    <row r="24" spans="1:27" x14ac:dyDescent="0.25">
      <c r="A24" s="344">
        <v>23</v>
      </c>
      <c r="B24" s="342">
        <v>0</v>
      </c>
      <c r="C24" s="342">
        <v>0</v>
      </c>
      <c r="D24" s="342">
        <v>0</v>
      </c>
      <c r="E24" s="342">
        <v>0</v>
      </c>
      <c r="F24" s="342">
        <v>0</v>
      </c>
      <c r="G24" s="342">
        <v>0</v>
      </c>
      <c r="H24" s="342">
        <v>0</v>
      </c>
      <c r="I24" s="342">
        <v>0</v>
      </c>
      <c r="J24" s="342">
        <v>0</v>
      </c>
      <c r="K24" s="342">
        <v>0</v>
      </c>
      <c r="L24" s="342">
        <v>0</v>
      </c>
      <c r="M24" s="342">
        <v>0</v>
      </c>
      <c r="N24" s="353">
        <v>0</v>
      </c>
      <c r="O24" s="353">
        <v>0</v>
      </c>
      <c r="P24" s="342">
        <v>0</v>
      </c>
      <c r="Q24" s="342">
        <v>0</v>
      </c>
      <c r="R24" s="342">
        <v>0</v>
      </c>
      <c r="S24" s="342">
        <v>0</v>
      </c>
      <c r="T24" s="342">
        <v>0</v>
      </c>
      <c r="U24" s="342">
        <v>0</v>
      </c>
      <c r="V24" s="342">
        <v>0</v>
      </c>
      <c r="W24" s="342">
        <v>0</v>
      </c>
      <c r="X24" s="342">
        <v>0</v>
      </c>
      <c r="Y24" s="342">
        <v>0</v>
      </c>
      <c r="Z24" s="342">
        <v>0</v>
      </c>
      <c r="AA24" s="342">
        <v>0</v>
      </c>
    </row>
    <row r="25" spans="1:27" x14ac:dyDescent="0.25">
      <c r="A25" s="344">
        <v>24</v>
      </c>
      <c r="B25" s="342">
        <v>0</v>
      </c>
      <c r="C25" s="342">
        <v>0</v>
      </c>
      <c r="D25" s="342">
        <v>0</v>
      </c>
      <c r="E25" s="342">
        <v>0</v>
      </c>
      <c r="F25" s="342">
        <v>0</v>
      </c>
      <c r="G25" s="342">
        <v>0</v>
      </c>
      <c r="H25" s="342">
        <v>0</v>
      </c>
      <c r="I25" s="342">
        <v>0</v>
      </c>
      <c r="J25" s="342">
        <v>0</v>
      </c>
      <c r="K25" s="342">
        <v>0</v>
      </c>
      <c r="L25" s="342">
        <v>0</v>
      </c>
      <c r="M25" s="342">
        <v>0</v>
      </c>
      <c r="N25" s="353">
        <v>0</v>
      </c>
      <c r="O25" s="353">
        <v>0</v>
      </c>
      <c r="P25" s="342">
        <v>0</v>
      </c>
      <c r="Q25" s="342">
        <v>0</v>
      </c>
      <c r="R25" s="342">
        <v>0</v>
      </c>
      <c r="S25" s="342">
        <v>0</v>
      </c>
      <c r="T25" s="342">
        <v>0</v>
      </c>
      <c r="U25" s="342">
        <v>0</v>
      </c>
      <c r="V25" s="342">
        <v>0</v>
      </c>
      <c r="W25" s="342">
        <v>0</v>
      </c>
      <c r="X25" s="342">
        <v>0</v>
      </c>
      <c r="Y25" s="342">
        <v>0</v>
      </c>
      <c r="Z25" s="342">
        <v>0</v>
      </c>
      <c r="AA25" s="342">
        <v>0</v>
      </c>
    </row>
    <row r="26" spans="1:27" x14ac:dyDescent="0.25">
      <c r="A26" s="344">
        <v>25</v>
      </c>
      <c r="B26" s="342">
        <v>0</v>
      </c>
      <c r="C26" s="342">
        <v>0</v>
      </c>
      <c r="D26" s="342">
        <v>0</v>
      </c>
      <c r="E26" s="342">
        <v>0</v>
      </c>
      <c r="F26" s="342">
        <v>0</v>
      </c>
      <c r="G26" s="342">
        <v>0</v>
      </c>
      <c r="H26" s="342">
        <v>0</v>
      </c>
      <c r="I26" s="342">
        <v>0</v>
      </c>
      <c r="J26" s="342">
        <v>0</v>
      </c>
      <c r="K26" s="342">
        <v>0</v>
      </c>
      <c r="L26" s="342">
        <v>0</v>
      </c>
      <c r="M26" s="342">
        <v>0</v>
      </c>
      <c r="N26" s="353">
        <v>0</v>
      </c>
      <c r="O26" s="353">
        <v>0</v>
      </c>
      <c r="P26" s="342">
        <v>0</v>
      </c>
      <c r="Q26" s="342">
        <v>0</v>
      </c>
      <c r="R26" s="342">
        <v>0</v>
      </c>
      <c r="S26" s="342">
        <v>0</v>
      </c>
      <c r="T26" s="342">
        <v>0</v>
      </c>
      <c r="U26" s="342">
        <v>0</v>
      </c>
      <c r="V26" s="342">
        <v>0</v>
      </c>
      <c r="W26" s="342">
        <v>0</v>
      </c>
      <c r="X26" s="342">
        <v>0</v>
      </c>
      <c r="Y26" s="342">
        <v>0</v>
      </c>
      <c r="Z26" s="342">
        <v>0</v>
      </c>
      <c r="AA26" s="342">
        <v>0</v>
      </c>
    </row>
    <row r="27" spans="1:27" x14ac:dyDescent="0.25">
      <c r="A27" s="344">
        <v>26</v>
      </c>
      <c r="B27" s="342">
        <v>0</v>
      </c>
      <c r="C27" s="342">
        <v>0</v>
      </c>
      <c r="D27" s="342">
        <v>0</v>
      </c>
      <c r="E27" s="342">
        <v>0</v>
      </c>
      <c r="F27" s="342">
        <v>0</v>
      </c>
      <c r="G27" s="342">
        <v>0</v>
      </c>
      <c r="H27" s="342">
        <v>0</v>
      </c>
      <c r="I27" s="342">
        <v>0</v>
      </c>
      <c r="J27" s="342">
        <v>0</v>
      </c>
      <c r="K27" s="342">
        <v>0</v>
      </c>
      <c r="L27" s="342">
        <v>0</v>
      </c>
      <c r="M27" s="342">
        <v>0</v>
      </c>
      <c r="N27" s="353">
        <v>0</v>
      </c>
      <c r="O27" s="353">
        <v>0</v>
      </c>
      <c r="P27" s="342">
        <v>0</v>
      </c>
      <c r="Q27" s="342">
        <v>0</v>
      </c>
      <c r="R27" s="342">
        <v>0</v>
      </c>
      <c r="S27" s="342">
        <v>0</v>
      </c>
      <c r="T27" s="342">
        <v>0</v>
      </c>
      <c r="U27" s="342">
        <v>0</v>
      </c>
      <c r="V27" s="342">
        <v>0</v>
      </c>
      <c r="W27" s="342">
        <v>0</v>
      </c>
      <c r="X27" s="342">
        <v>0</v>
      </c>
      <c r="Y27" s="342">
        <v>0</v>
      </c>
      <c r="Z27" s="342">
        <v>0</v>
      </c>
      <c r="AA27" s="342">
        <v>0</v>
      </c>
    </row>
    <row r="28" spans="1:27" x14ac:dyDescent="0.25">
      <c r="A28" s="344">
        <v>27</v>
      </c>
      <c r="B28" s="342">
        <v>0</v>
      </c>
      <c r="C28" s="342">
        <v>0</v>
      </c>
      <c r="D28" s="342">
        <v>0.01</v>
      </c>
      <c r="E28" s="342">
        <v>8.7999999999999995E-2</v>
      </c>
      <c r="F28" s="342">
        <v>0.13200000000000001</v>
      </c>
      <c r="G28" s="342">
        <v>5.5E-2</v>
      </c>
      <c r="H28" s="342">
        <v>0.19700000000000001</v>
      </c>
      <c r="I28" s="342">
        <v>4.8000000000000001E-2</v>
      </c>
      <c r="J28" s="342">
        <v>2.5999999999999999E-2</v>
      </c>
      <c r="K28" s="342">
        <v>0.18099999999999999</v>
      </c>
      <c r="L28" s="342">
        <v>0.22600000000000001</v>
      </c>
      <c r="M28" s="342">
        <v>0.108</v>
      </c>
      <c r="N28" s="353">
        <v>9.5000000000000001E-2</v>
      </c>
      <c r="O28" s="353">
        <v>0</v>
      </c>
      <c r="P28" s="342">
        <v>1.2E-2</v>
      </c>
      <c r="Q28" s="342">
        <v>0.17899999999999999</v>
      </c>
      <c r="R28" s="342">
        <v>0.114</v>
      </c>
      <c r="S28" s="342">
        <v>2.7E-2</v>
      </c>
      <c r="T28" s="342">
        <v>0.123</v>
      </c>
      <c r="U28" s="342">
        <v>0</v>
      </c>
      <c r="V28" s="342">
        <v>4.0000000000000001E-3</v>
      </c>
      <c r="W28" s="342">
        <v>0</v>
      </c>
      <c r="X28" s="342">
        <v>0</v>
      </c>
      <c r="Y28" s="342">
        <v>0</v>
      </c>
      <c r="Z28" s="342">
        <v>0</v>
      </c>
      <c r="AA28" s="342">
        <v>0</v>
      </c>
    </row>
    <row r="29" spans="1:27" x14ac:dyDescent="0.25">
      <c r="A29" s="344">
        <v>28</v>
      </c>
      <c r="B29" s="342">
        <v>0</v>
      </c>
      <c r="C29" s="342">
        <v>0</v>
      </c>
      <c r="D29" s="342">
        <v>0</v>
      </c>
      <c r="E29" s="342">
        <v>0</v>
      </c>
      <c r="F29" s="342">
        <v>0</v>
      </c>
      <c r="G29" s="342">
        <v>0</v>
      </c>
      <c r="H29" s="342">
        <v>0</v>
      </c>
      <c r="I29" s="342">
        <v>0</v>
      </c>
      <c r="J29" s="342">
        <v>0</v>
      </c>
      <c r="K29" s="342">
        <v>0</v>
      </c>
      <c r="L29" s="342">
        <v>0</v>
      </c>
      <c r="M29" s="342">
        <v>0</v>
      </c>
      <c r="N29" s="353">
        <v>0</v>
      </c>
      <c r="O29" s="353">
        <v>0</v>
      </c>
      <c r="P29" s="342">
        <v>0</v>
      </c>
      <c r="Q29" s="342">
        <v>0</v>
      </c>
      <c r="R29" s="342">
        <v>0</v>
      </c>
      <c r="S29" s="342">
        <v>0</v>
      </c>
      <c r="T29" s="342">
        <v>0</v>
      </c>
      <c r="U29" s="342">
        <v>0</v>
      </c>
      <c r="V29" s="342">
        <v>0</v>
      </c>
      <c r="W29" s="342">
        <v>0</v>
      </c>
      <c r="X29" s="342">
        <v>0</v>
      </c>
      <c r="Y29" s="342">
        <v>0</v>
      </c>
      <c r="Z29" s="342">
        <v>0</v>
      </c>
      <c r="AA29" s="342">
        <v>0</v>
      </c>
    </row>
    <row r="30" spans="1:27" x14ac:dyDescent="0.25">
      <c r="A30" s="344">
        <v>29</v>
      </c>
      <c r="B30" s="342">
        <v>0</v>
      </c>
      <c r="C30" s="342">
        <v>0</v>
      </c>
      <c r="D30" s="342">
        <v>0</v>
      </c>
      <c r="E30" s="342">
        <v>8.5000000000000006E-2</v>
      </c>
      <c r="F30" s="342">
        <v>0.23</v>
      </c>
      <c r="G30" s="342">
        <v>0.82799999999999996</v>
      </c>
      <c r="H30" s="342">
        <v>0</v>
      </c>
      <c r="I30" s="342">
        <v>0</v>
      </c>
      <c r="J30" s="342">
        <v>0</v>
      </c>
      <c r="K30" s="342">
        <v>0</v>
      </c>
      <c r="L30" s="342">
        <v>0</v>
      </c>
      <c r="M30" s="342">
        <v>4.3999999999999997E-2</v>
      </c>
      <c r="N30" s="353">
        <v>6.0000000000000001E-3</v>
      </c>
      <c r="O30" s="353">
        <v>0</v>
      </c>
      <c r="P30" s="342">
        <v>0</v>
      </c>
      <c r="Q30" s="342">
        <v>0</v>
      </c>
      <c r="R30" s="342">
        <v>0.20100000000000001</v>
      </c>
      <c r="S30" s="342">
        <v>0.34399999999999997</v>
      </c>
      <c r="T30" s="342">
        <v>0.34699999999999998</v>
      </c>
      <c r="U30" s="342">
        <v>0</v>
      </c>
      <c r="V30" s="342">
        <v>1.7000000000000001E-2</v>
      </c>
      <c r="W30" s="342">
        <v>0</v>
      </c>
      <c r="X30" s="342">
        <v>0</v>
      </c>
      <c r="Y30" s="342">
        <v>0</v>
      </c>
      <c r="Z30" s="342">
        <v>0</v>
      </c>
      <c r="AA30" s="342">
        <v>0</v>
      </c>
    </row>
    <row r="31" spans="1:27" ht="15.75" thickBot="1" x14ac:dyDescent="0.3">
      <c r="A31" s="354">
        <v>30</v>
      </c>
      <c r="B31" s="349">
        <v>0</v>
      </c>
      <c r="C31" s="349">
        <v>0</v>
      </c>
      <c r="D31" s="349">
        <v>0.24</v>
      </c>
      <c r="E31" s="349">
        <v>0</v>
      </c>
      <c r="F31" s="349">
        <v>0</v>
      </c>
      <c r="G31" s="349">
        <v>0</v>
      </c>
      <c r="H31" s="349">
        <v>0</v>
      </c>
      <c r="I31" s="349">
        <v>0</v>
      </c>
      <c r="J31" s="349">
        <v>0</v>
      </c>
      <c r="K31" s="349">
        <v>0</v>
      </c>
      <c r="L31" s="349">
        <v>6.0000000000000001E-3</v>
      </c>
      <c r="M31" s="349">
        <v>7.0000000000000001E-3</v>
      </c>
      <c r="N31" s="352">
        <v>1E-3</v>
      </c>
      <c r="O31" s="352">
        <v>0</v>
      </c>
      <c r="P31" s="349">
        <v>4.3999999999999997E-2</v>
      </c>
      <c r="Q31" s="349">
        <v>0</v>
      </c>
      <c r="R31" s="349">
        <v>0</v>
      </c>
      <c r="S31" s="349">
        <v>0</v>
      </c>
      <c r="T31" s="349">
        <v>0</v>
      </c>
      <c r="U31" s="349">
        <v>3.0000000000000001E-3</v>
      </c>
      <c r="V31" s="349">
        <v>0</v>
      </c>
      <c r="W31" s="349">
        <v>0.123</v>
      </c>
      <c r="X31" s="349">
        <v>0</v>
      </c>
      <c r="Y31" s="349">
        <v>0</v>
      </c>
      <c r="Z31" s="349">
        <v>0</v>
      </c>
      <c r="AA31" s="349">
        <v>0</v>
      </c>
    </row>
    <row r="32" spans="1:27" ht="15.75" x14ac:dyDescent="0.25">
      <c r="A32" s="355"/>
    </row>
  </sheetData>
  <mergeCells count="2">
    <mergeCell ref="A1:BB1"/>
    <mergeCell ref="B3:C3"/>
  </mergeCells>
  <conditionalFormatting sqref="A1:BB1">
    <cfRule type="cellIs" dxfId="8" priority="1" operator="equal">
      <formula>0</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workbookViewId="0">
      <selection activeCell="J16" sqref="J16"/>
    </sheetView>
  </sheetViews>
  <sheetFormatPr defaultRowHeight="15" x14ac:dyDescent="0.25"/>
  <cols>
    <col min="2" max="2" width="31.85546875" customWidth="1"/>
    <col min="4" max="4" width="11" bestFit="1" customWidth="1"/>
    <col min="5" max="5" width="3.5703125" customWidth="1"/>
    <col min="6" max="6" width="9.85546875" customWidth="1"/>
  </cols>
  <sheetData>
    <row r="1" spans="1:10" ht="22.5" customHeight="1" x14ac:dyDescent="0.25">
      <c r="A1" s="18" t="s">
        <v>3073</v>
      </c>
      <c r="C1" s="20"/>
      <c r="D1" s="20"/>
      <c r="E1" s="20"/>
      <c r="F1" s="20"/>
      <c r="G1" s="20"/>
      <c r="H1" s="20"/>
      <c r="I1" s="20"/>
      <c r="J1" s="20"/>
    </row>
    <row r="2" spans="1:10" ht="15.75" thickBot="1" x14ac:dyDescent="0.3">
      <c r="A2" s="21"/>
      <c r="B2" s="20"/>
      <c r="C2" s="20"/>
      <c r="D2" s="20"/>
      <c r="E2" s="20"/>
      <c r="F2" s="20"/>
      <c r="G2" s="20"/>
      <c r="H2" s="20"/>
      <c r="I2" s="20"/>
      <c r="J2" s="20"/>
    </row>
    <row r="3" spans="1:10" ht="18.75" thickBot="1" x14ac:dyDescent="0.3">
      <c r="A3" s="302" t="s">
        <v>345</v>
      </c>
      <c r="B3" s="75" t="s">
        <v>382</v>
      </c>
      <c r="C3" s="443" t="s">
        <v>669</v>
      </c>
      <c r="D3" s="443"/>
      <c r="E3" s="45"/>
      <c r="F3" s="443" t="s">
        <v>670</v>
      </c>
      <c r="G3" s="443"/>
      <c r="H3" s="45"/>
      <c r="I3" s="443" t="s">
        <v>671</v>
      </c>
      <c r="J3" s="443"/>
    </row>
    <row r="4" spans="1:10" ht="15.75" thickBot="1" x14ac:dyDescent="0.3">
      <c r="A4" s="24"/>
      <c r="B4" s="22"/>
      <c r="C4" s="61" t="s">
        <v>672</v>
      </c>
      <c r="D4" s="179" t="s">
        <v>673</v>
      </c>
      <c r="E4" s="180"/>
      <c r="F4" s="61" t="s">
        <v>672</v>
      </c>
      <c r="G4" s="179" t="s">
        <v>673</v>
      </c>
      <c r="H4" s="180"/>
      <c r="I4" s="61" t="s">
        <v>672</v>
      </c>
      <c r="J4" s="179" t="s">
        <v>674</v>
      </c>
    </row>
    <row r="5" spans="1:10" x14ac:dyDescent="0.25">
      <c r="A5" s="21">
        <v>4</v>
      </c>
      <c r="B5" s="95" t="s">
        <v>353</v>
      </c>
      <c r="C5" s="182">
        <v>0</v>
      </c>
      <c r="D5" s="182">
        <v>0</v>
      </c>
      <c r="E5" s="183"/>
      <c r="F5" s="182">
        <v>0</v>
      </c>
      <c r="G5" s="182">
        <v>1</v>
      </c>
      <c r="H5" s="183"/>
      <c r="I5" s="182">
        <v>1</v>
      </c>
      <c r="J5" s="182">
        <v>0</v>
      </c>
    </row>
    <row r="6" spans="1:10" x14ac:dyDescent="0.25">
      <c r="A6" s="21">
        <v>5</v>
      </c>
      <c r="B6" s="95" t="s">
        <v>1863</v>
      </c>
      <c r="C6" s="182">
        <v>0</v>
      </c>
      <c r="D6" s="182">
        <v>0</v>
      </c>
      <c r="E6" s="183"/>
      <c r="F6" s="182">
        <v>0.25</v>
      </c>
      <c r="G6" s="182">
        <v>0.75</v>
      </c>
      <c r="H6" s="183"/>
      <c r="I6" s="182">
        <v>0.5</v>
      </c>
      <c r="J6" s="182">
        <v>0.5</v>
      </c>
    </row>
    <row r="7" spans="1:10" x14ac:dyDescent="0.25">
      <c r="A7" s="21">
        <v>6</v>
      </c>
      <c r="B7" s="95" t="s">
        <v>1864</v>
      </c>
      <c r="C7" s="182">
        <v>1</v>
      </c>
      <c r="D7" s="182">
        <v>0</v>
      </c>
      <c r="E7" s="183"/>
      <c r="F7" s="182">
        <v>1</v>
      </c>
      <c r="G7" s="182">
        <v>0</v>
      </c>
      <c r="H7" s="183"/>
      <c r="I7" s="182">
        <v>1</v>
      </c>
      <c r="J7" s="182">
        <v>0</v>
      </c>
    </row>
    <row r="8" spans="1:10" x14ac:dyDescent="0.25">
      <c r="A8" s="21">
        <v>7</v>
      </c>
      <c r="B8" s="95" t="s">
        <v>1865</v>
      </c>
      <c r="C8" s="182">
        <v>0</v>
      </c>
      <c r="D8" s="182">
        <v>1</v>
      </c>
      <c r="E8" s="183"/>
      <c r="F8" s="182">
        <v>0</v>
      </c>
      <c r="G8" s="182">
        <v>1</v>
      </c>
      <c r="H8" s="183"/>
      <c r="I8" s="182">
        <v>0.5</v>
      </c>
      <c r="J8" s="182">
        <v>0.5</v>
      </c>
    </row>
    <row r="9" spans="1:10" x14ac:dyDescent="0.25">
      <c r="A9" s="21">
        <v>8</v>
      </c>
      <c r="B9" s="95" t="s">
        <v>1866</v>
      </c>
      <c r="C9" s="182">
        <v>0</v>
      </c>
      <c r="D9" s="182">
        <v>1</v>
      </c>
      <c r="E9" s="183"/>
      <c r="F9" s="182">
        <v>0</v>
      </c>
      <c r="G9" s="182">
        <v>1</v>
      </c>
      <c r="H9" s="183"/>
      <c r="I9" s="182">
        <v>0.230278092282305</v>
      </c>
      <c r="J9" s="182">
        <v>0.769721907717695</v>
      </c>
    </row>
    <row r="10" spans="1:10" x14ac:dyDescent="0.25">
      <c r="A10" s="21">
        <v>9</v>
      </c>
      <c r="B10" s="95" t="s">
        <v>1867</v>
      </c>
      <c r="C10" s="182">
        <v>0</v>
      </c>
      <c r="D10" s="182">
        <v>1</v>
      </c>
      <c r="E10" s="183"/>
      <c r="F10" s="182">
        <v>0</v>
      </c>
      <c r="G10" s="182">
        <v>1</v>
      </c>
      <c r="H10" s="183"/>
      <c r="I10" s="182">
        <v>0.5</v>
      </c>
      <c r="J10" s="182">
        <v>0.5</v>
      </c>
    </row>
    <row r="11" spans="1:10" x14ac:dyDescent="0.25">
      <c r="A11" s="21">
        <v>10</v>
      </c>
      <c r="B11" s="95" t="s">
        <v>1868</v>
      </c>
      <c r="C11" s="182">
        <v>0.30351442272465401</v>
      </c>
      <c r="D11" s="182">
        <v>0.69648557727534599</v>
      </c>
      <c r="E11" s="183"/>
      <c r="F11" s="182">
        <v>0.30351442272465401</v>
      </c>
      <c r="G11" s="182">
        <v>0.69648557727534599</v>
      </c>
      <c r="H11" s="183"/>
      <c r="I11" s="182">
        <v>0.5</v>
      </c>
      <c r="J11" s="182">
        <v>0.5</v>
      </c>
    </row>
    <row r="12" spans="1:10" x14ac:dyDescent="0.25">
      <c r="A12" s="21">
        <v>11</v>
      </c>
      <c r="B12" s="95" t="s">
        <v>354</v>
      </c>
      <c r="C12" s="182">
        <v>0</v>
      </c>
      <c r="D12" s="182">
        <v>1</v>
      </c>
      <c r="E12" s="183"/>
      <c r="F12" s="182">
        <v>0</v>
      </c>
      <c r="G12" s="182">
        <v>1</v>
      </c>
      <c r="H12" s="183"/>
      <c r="I12" s="182">
        <v>0.5</v>
      </c>
      <c r="J12" s="182">
        <v>0.5</v>
      </c>
    </row>
    <row r="13" spans="1:10" x14ac:dyDescent="0.25">
      <c r="A13" s="21">
        <v>12</v>
      </c>
      <c r="B13" s="95" t="s">
        <v>355</v>
      </c>
      <c r="C13" s="182">
        <v>0</v>
      </c>
      <c r="D13" s="182">
        <v>1</v>
      </c>
      <c r="E13" s="183"/>
      <c r="F13" s="182">
        <v>0</v>
      </c>
      <c r="G13" s="182">
        <v>1</v>
      </c>
      <c r="H13" s="183"/>
      <c r="I13" s="182">
        <v>1</v>
      </c>
      <c r="J13" s="182">
        <v>0</v>
      </c>
    </row>
    <row r="14" spans="1:10" x14ac:dyDescent="0.25">
      <c r="A14" s="21">
        <v>13</v>
      </c>
      <c r="B14" s="95" t="s">
        <v>1869</v>
      </c>
      <c r="C14" s="182">
        <v>0</v>
      </c>
      <c r="D14" s="182">
        <v>1</v>
      </c>
      <c r="E14" s="183"/>
      <c r="F14" s="182">
        <v>0</v>
      </c>
      <c r="G14" s="182">
        <v>1</v>
      </c>
      <c r="H14" s="183"/>
      <c r="I14" s="182">
        <v>0.99038769316804998</v>
      </c>
      <c r="J14" s="182">
        <v>9.6123068319500897E-3</v>
      </c>
    </row>
    <row r="15" spans="1:10" x14ac:dyDescent="0.25">
      <c r="A15" s="21">
        <v>14</v>
      </c>
      <c r="B15" s="95" t="s">
        <v>1870</v>
      </c>
      <c r="C15" s="182">
        <v>0</v>
      </c>
      <c r="D15" s="182">
        <v>1</v>
      </c>
      <c r="E15" s="183"/>
      <c r="F15" s="182">
        <v>0</v>
      </c>
      <c r="G15" s="182">
        <v>1</v>
      </c>
      <c r="H15" s="183"/>
      <c r="I15" s="182">
        <v>0.92993904909857406</v>
      </c>
      <c r="J15" s="182">
        <v>7.0060950901426097E-2</v>
      </c>
    </row>
    <row r="16" spans="1:10" x14ac:dyDescent="0.25">
      <c r="A16" s="21">
        <v>15</v>
      </c>
      <c r="B16" s="95" t="s">
        <v>1871</v>
      </c>
      <c r="C16" s="182">
        <v>0</v>
      </c>
      <c r="D16" s="182">
        <v>1</v>
      </c>
      <c r="E16" s="183"/>
      <c r="F16" s="182">
        <v>0</v>
      </c>
      <c r="G16" s="182">
        <v>1</v>
      </c>
      <c r="H16" s="183"/>
      <c r="I16" s="182">
        <v>0.14890803023118401</v>
      </c>
      <c r="J16" s="182">
        <v>0.85109196976881596</v>
      </c>
    </row>
    <row r="17" spans="1:10" x14ac:dyDescent="0.25">
      <c r="A17" s="21">
        <v>16</v>
      </c>
      <c r="B17" s="95" t="s">
        <v>1872</v>
      </c>
      <c r="C17" s="182">
        <v>0</v>
      </c>
      <c r="D17" s="182">
        <v>1</v>
      </c>
      <c r="E17" s="183"/>
      <c r="F17" s="182">
        <v>0</v>
      </c>
      <c r="G17" s="182">
        <v>1</v>
      </c>
      <c r="H17" s="183"/>
      <c r="I17" s="182">
        <v>0.25133348795606297</v>
      </c>
      <c r="J17" s="182">
        <v>0.74866651204393697</v>
      </c>
    </row>
    <row r="18" spans="1:10" x14ac:dyDescent="0.25">
      <c r="A18" s="21">
        <v>17</v>
      </c>
      <c r="B18" s="95" t="s">
        <v>1873</v>
      </c>
      <c r="C18" s="182">
        <v>0</v>
      </c>
      <c r="D18" s="182">
        <v>1</v>
      </c>
      <c r="E18" s="183"/>
      <c r="F18" s="182">
        <v>0</v>
      </c>
      <c r="G18" s="182">
        <v>1</v>
      </c>
      <c r="H18" s="183"/>
      <c r="I18" s="182">
        <v>1</v>
      </c>
      <c r="J18" s="182">
        <v>0</v>
      </c>
    </row>
    <row r="19" spans="1:10" x14ac:dyDescent="0.25">
      <c r="A19" s="21">
        <v>18</v>
      </c>
      <c r="B19" s="95" t="s">
        <v>1874</v>
      </c>
      <c r="C19" s="182">
        <v>0</v>
      </c>
      <c r="D19" s="182">
        <v>1</v>
      </c>
      <c r="E19" s="183"/>
      <c r="F19" s="182">
        <v>0</v>
      </c>
      <c r="G19" s="182">
        <v>1</v>
      </c>
      <c r="H19" s="183"/>
      <c r="I19" s="182">
        <v>1</v>
      </c>
      <c r="J19" s="182">
        <v>0</v>
      </c>
    </row>
    <row r="20" spans="1:10" x14ac:dyDescent="0.25">
      <c r="A20" s="21">
        <v>19</v>
      </c>
      <c r="B20" s="95" t="s">
        <v>1875</v>
      </c>
      <c r="C20" s="182">
        <v>0</v>
      </c>
      <c r="D20" s="182">
        <v>1</v>
      </c>
      <c r="E20" s="183"/>
      <c r="F20" s="182">
        <v>0</v>
      </c>
      <c r="G20" s="182">
        <v>1</v>
      </c>
      <c r="H20" s="183"/>
      <c r="I20" s="182">
        <v>1</v>
      </c>
      <c r="J20" s="182">
        <v>0</v>
      </c>
    </row>
    <row r="21" spans="1:10" x14ac:dyDescent="0.25">
      <c r="A21" s="21">
        <v>20</v>
      </c>
      <c r="B21" s="95" t="s">
        <v>1876</v>
      </c>
      <c r="C21" s="182">
        <v>0</v>
      </c>
      <c r="D21" s="182">
        <v>1</v>
      </c>
      <c r="E21" s="183"/>
      <c r="F21" s="182">
        <v>0</v>
      </c>
      <c r="G21" s="182">
        <v>1</v>
      </c>
      <c r="H21" s="183"/>
      <c r="I21" s="182">
        <v>4.6132122452344501E-3</v>
      </c>
      <c r="J21" s="182">
        <v>0.99538678775476597</v>
      </c>
    </row>
    <row r="22" spans="1:10" x14ac:dyDescent="0.25">
      <c r="A22" s="21">
        <v>21</v>
      </c>
      <c r="B22" s="95" t="s">
        <v>1877</v>
      </c>
      <c r="C22" s="182">
        <v>0</v>
      </c>
      <c r="D22" s="182">
        <v>1</v>
      </c>
      <c r="E22" s="183"/>
      <c r="F22" s="182">
        <v>0</v>
      </c>
      <c r="G22" s="182">
        <v>1</v>
      </c>
      <c r="H22" s="183"/>
      <c r="I22" s="182">
        <v>0</v>
      </c>
      <c r="J22" s="182">
        <v>1</v>
      </c>
    </row>
    <row r="23" spans="1:10" x14ac:dyDescent="0.25">
      <c r="A23" s="21">
        <v>22</v>
      </c>
      <c r="B23" s="95" t="s">
        <v>1878</v>
      </c>
      <c r="C23" s="182">
        <v>0</v>
      </c>
      <c r="D23" s="182">
        <v>1</v>
      </c>
      <c r="E23" s="183"/>
      <c r="F23" s="182">
        <v>0</v>
      </c>
      <c r="G23" s="182">
        <v>1</v>
      </c>
      <c r="H23" s="183"/>
      <c r="I23" s="182">
        <v>0</v>
      </c>
      <c r="J23" s="182">
        <v>1</v>
      </c>
    </row>
    <row r="24" spans="1:10" x14ac:dyDescent="0.25">
      <c r="A24" s="21">
        <v>23</v>
      </c>
      <c r="B24" s="95" t="s">
        <v>1879</v>
      </c>
      <c r="C24" s="182">
        <v>0</v>
      </c>
      <c r="D24" s="182">
        <v>1</v>
      </c>
      <c r="E24" s="183"/>
      <c r="F24" s="182">
        <v>0</v>
      </c>
      <c r="G24" s="182">
        <v>1</v>
      </c>
      <c r="H24" s="183"/>
      <c r="I24" s="182">
        <v>1</v>
      </c>
      <c r="J24" s="182">
        <v>0</v>
      </c>
    </row>
    <row r="25" spans="1:10" x14ac:dyDescent="0.25">
      <c r="A25" s="21">
        <v>24</v>
      </c>
      <c r="B25" s="95" t="s">
        <v>1880</v>
      </c>
      <c r="C25" s="182">
        <v>0</v>
      </c>
      <c r="D25" s="182">
        <v>1</v>
      </c>
      <c r="E25" s="183"/>
      <c r="F25" s="182">
        <v>0</v>
      </c>
      <c r="G25" s="182">
        <v>1</v>
      </c>
      <c r="H25" s="183"/>
      <c r="I25" s="182">
        <v>1</v>
      </c>
      <c r="J25" s="182">
        <v>0</v>
      </c>
    </row>
    <row r="26" spans="1:10" x14ac:dyDescent="0.25">
      <c r="A26" s="21">
        <v>25</v>
      </c>
      <c r="B26" s="95" t="s">
        <v>356</v>
      </c>
      <c r="C26" s="182">
        <v>1</v>
      </c>
      <c r="D26" s="182">
        <v>0</v>
      </c>
      <c r="E26" s="183"/>
      <c r="F26" s="182">
        <v>0</v>
      </c>
      <c r="G26" s="182">
        <v>1</v>
      </c>
      <c r="H26" s="183"/>
      <c r="I26" s="182">
        <v>1</v>
      </c>
      <c r="J26" s="182">
        <v>0</v>
      </c>
    </row>
    <row r="27" spans="1:10" x14ac:dyDescent="0.25">
      <c r="A27" s="21">
        <v>26</v>
      </c>
      <c r="B27" s="95" t="s">
        <v>357</v>
      </c>
      <c r="C27" s="182">
        <v>1</v>
      </c>
      <c r="D27" s="182">
        <v>0</v>
      </c>
      <c r="E27" s="183"/>
      <c r="F27" s="182">
        <v>0</v>
      </c>
      <c r="G27" s="182">
        <v>1</v>
      </c>
      <c r="H27" s="183"/>
      <c r="I27" s="182">
        <v>1</v>
      </c>
      <c r="J27" s="182">
        <v>0</v>
      </c>
    </row>
    <row r="28" spans="1:10" x14ac:dyDescent="0.25">
      <c r="A28" s="21">
        <v>27</v>
      </c>
      <c r="B28" s="95" t="s">
        <v>1881</v>
      </c>
      <c r="C28" s="182">
        <v>0</v>
      </c>
      <c r="D28" s="182">
        <v>1</v>
      </c>
      <c r="E28" s="183"/>
      <c r="F28" s="182">
        <v>0</v>
      </c>
      <c r="G28" s="182">
        <v>1</v>
      </c>
      <c r="H28" s="183"/>
      <c r="I28" s="182">
        <v>1</v>
      </c>
      <c r="J28" s="182">
        <v>0</v>
      </c>
    </row>
    <row r="29" spans="1:10" x14ac:dyDescent="0.25">
      <c r="A29" s="21">
        <v>28</v>
      </c>
      <c r="B29" s="95" t="s">
        <v>1882</v>
      </c>
      <c r="C29" s="182">
        <v>0</v>
      </c>
      <c r="D29" s="182">
        <v>0</v>
      </c>
      <c r="E29" s="183"/>
      <c r="F29" s="182">
        <v>0.1</v>
      </c>
      <c r="G29" s="182">
        <v>0.9</v>
      </c>
      <c r="H29" s="183"/>
      <c r="I29" s="182">
        <v>0.1</v>
      </c>
      <c r="J29" s="182">
        <v>0.9</v>
      </c>
    </row>
    <row r="30" spans="1:10" ht="15.75" thickBot="1" x14ac:dyDescent="0.3">
      <c r="A30" s="24">
        <v>29</v>
      </c>
      <c r="B30" s="258" t="s">
        <v>1883</v>
      </c>
      <c r="C30" s="126">
        <v>0</v>
      </c>
      <c r="D30" s="126">
        <v>0</v>
      </c>
      <c r="E30" s="184"/>
      <c r="F30" s="126">
        <v>0</v>
      </c>
      <c r="G30" s="126">
        <v>1</v>
      </c>
      <c r="H30" s="184"/>
      <c r="I30" s="126">
        <v>0</v>
      </c>
      <c r="J30" s="126">
        <v>1</v>
      </c>
    </row>
    <row r="31" spans="1:10" s="6" customFormat="1" x14ac:dyDescent="0.25">
      <c r="B31" s="108"/>
      <c r="C31" s="108"/>
      <c r="D31" s="108"/>
      <c r="E31" s="181"/>
      <c r="F31" s="108"/>
      <c r="G31" s="108"/>
      <c r="H31" s="181"/>
      <c r="I31" s="108"/>
      <c r="J31" s="108"/>
    </row>
  </sheetData>
  <mergeCells count="3">
    <mergeCell ref="C3:D3"/>
    <mergeCell ref="F3:G3"/>
    <mergeCell ref="I3:J3"/>
  </mergeCells>
  <conditionalFormatting sqref="C5:J30">
    <cfRule type="cellIs" dxfId="7" priority="2" operator="equal">
      <formula>0</formula>
    </cfRule>
  </conditionalFormatting>
  <conditionalFormatting sqref="B5:B30">
    <cfRule type="cellIs" dxfId="6" priority="1" operator="equal">
      <formula>0</formula>
    </cfRule>
  </conditionalFormatting>
  <pageMargins left="0.7" right="0.7" top="0.75" bottom="0.75" header="0.3" footer="0.3"/>
  <pageSetup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3"/>
  <sheetViews>
    <sheetView topLeftCell="N1" zoomScale="99" zoomScaleNormal="99" workbookViewId="0">
      <selection activeCell="W20" sqref="W20"/>
    </sheetView>
  </sheetViews>
  <sheetFormatPr defaultRowHeight="15" x14ac:dyDescent="0.25"/>
  <cols>
    <col min="1" max="1" width="7.85546875" customWidth="1"/>
    <col min="2" max="2" width="26.42578125" customWidth="1"/>
  </cols>
  <sheetData>
    <row r="1" spans="1:32" ht="38.25" customHeight="1" thickBot="1" x14ac:dyDescent="0.3">
      <c r="A1" s="406" t="s">
        <v>3074</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row>
    <row r="2" spans="1:32" ht="19.5" customHeight="1" x14ac:dyDescent="0.25">
      <c r="A2" s="10"/>
      <c r="B2" s="10"/>
      <c r="C2" s="220" t="s">
        <v>2828</v>
      </c>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row>
    <row r="3" spans="1:32" ht="15.75" thickBot="1" x14ac:dyDescent="0.3">
      <c r="A3" s="125" t="s">
        <v>345</v>
      </c>
      <c r="B3" s="260" t="s">
        <v>2830</v>
      </c>
      <c r="C3" s="23">
        <v>1</v>
      </c>
      <c r="D3" s="23">
        <v>2</v>
      </c>
      <c r="E3" s="23">
        <v>3</v>
      </c>
      <c r="F3" s="23">
        <v>4</v>
      </c>
      <c r="G3" s="23">
        <v>5</v>
      </c>
      <c r="H3" s="23">
        <v>6</v>
      </c>
      <c r="I3" s="23">
        <v>7</v>
      </c>
      <c r="J3" s="23">
        <v>8</v>
      </c>
      <c r="K3" s="23">
        <v>9</v>
      </c>
      <c r="L3" s="23">
        <v>10</v>
      </c>
      <c r="M3" s="23">
        <v>11</v>
      </c>
      <c r="N3" s="23">
        <v>12</v>
      </c>
      <c r="O3" s="23">
        <v>13</v>
      </c>
      <c r="P3" s="23">
        <v>14</v>
      </c>
      <c r="Q3" s="23">
        <v>15</v>
      </c>
      <c r="R3" s="23">
        <v>16</v>
      </c>
      <c r="S3" s="23">
        <v>17</v>
      </c>
      <c r="T3" s="23">
        <v>18</v>
      </c>
      <c r="U3" s="23">
        <v>19</v>
      </c>
      <c r="V3" s="23">
        <v>20</v>
      </c>
      <c r="W3" s="23">
        <v>21</v>
      </c>
      <c r="X3" s="23">
        <v>22</v>
      </c>
      <c r="Y3" s="23">
        <v>23</v>
      </c>
      <c r="Z3" s="23">
        <v>24</v>
      </c>
      <c r="AA3" s="23">
        <v>25</v>
      </c>
      <c r="AB3" s="23">
        <v>26</v>
      </c>
      <c r="AC3" s="23">
        <v>27</v>
      </c>
      <c r="AD3" s="23">
        <v>28</v>
      </c>
      <c r="AE3" s="23">
        <v>29</v>
      </c>
      <c r="AF3" s="23">
        <v>30</v>
      </c>
    </row>
    <row r="4" spans="1:32" ht="18.75" x14ac:dyDescent="0.35">
      <c r="A4" s="21">
        <v>1</v>
      </c>
      <c r="B4" s="20" t="s">
        <v>2846</v>
      </c>
      <c r="C4" s="219">
        <v>0</v>
      </c>
      <c r="D4" s="219">
        <v>0</v>
      </c>
      <c r="E4" s="219">
        <v>0</v>
      </c>
      <c r="F4" s="219">
        <v>0</v>
      </c>
      <c r="G4" s="219">
        <v>0</v>
      </c>
      <c r="H4" s="219">
        <v>0</v>
      </c>
      <c r="I4" s="219">
        <v>0</v>
      </c>
      <c r="J4" s="219">
        <v>0</v>
      </c>
      <c r="K4" s="219">
        <v>0</v>
      </c>
      <c r="L4" s="219">
        <v>0</v>
      </c>
      <c r="M4" s="219">
        <v>0</v>
      </c>
      <c r="N4" s="219">
        <v>0</v>
      </c>
      <c r="O4" s="219">
        <v>0</v>
      </c>
      <c r="P4" s="219">
        <v>0</v>
      </c>
      <c r="Q4" s="219">
        <v>0</v>
      </c>
      <c r="R4" s="219">
        <v>0</v>
      </c>
      <c r="S4" s="219">
        <v>0</v>
      </c>
      <c r="T4" s="219">
        <v>0</v>
      </c>
      <c r="U4" s="219">
        <v>0</v>
      </c>
      <c r="V4" s="219">
        <v>0</v>
      </c>
      <c r="W4" s="219">
        <v>0</v>
      </c>
      <c r="X4" s="219">
        <v>0</v>
      </c>
      <c r="Y4" s="219">
        <v>0</v>
      </c>
      <c r="Z4" s="219">
        <v>0</v>
      </c>
      <c r="AA4" s="219">
        <v>0</v>
      </c>
      <c r="AB4" s="219">
        <v>0</v>
      </c>
      <c r="AC4" s="219">
        <v>0</v>
      </c>
      <c r="AD4" s="219">
        <v>0</v>
      </c>
      <c r="AE4" s="219">
        <v>0</v>
      </c>
      <c r="AF4" s="219">
        <v>0</v>
      </c>
    </row>
    <row r="5" spans="1:32" ht="18.75" x14ac:dyDescent="0.35">
      <c r="A5" s="21">
        <v>2</v>
      </c>
      <c r="B5" s="20" t="s">
        <v>2844</v>
      </c>
      <c r="C5" s="219">
        <v>0</v>
      </c>
      <c r="D5" s="219">
        <v>0</v>
      </c>
      <c r="E5" s="219">
        <v>0</v>
      </c>
      <c r="F5" s="219">
        <v>0</v>
      </c>
      <c r="G5" s="219">
        <v>0</v>
      </c>
      <c r="H5" s="408">
        <v>1.9767415999999999E-2</v>
      </c>
      <c r="I5" s="219">
        <v>0.249999997</v>
      </c>
      <c r="J5" s="219">
        <v>4.5657100363942202E-2</v>
      </c>
      <c r="K5" s="219">
        <v>0.249999997</v>
      </c>
      <c r="L5" s="219">
        <v>0.249999997</v>
      </c>
      <c r="M5" s="219">
        <v>0.29791666249999998</v>
      </c>
      <c r="N5" s="219">
        <v>0.64604106800000005</v>
      </c>
      <c r="O5" s="219">
        <v>0.62850498839156999</v>
      </c>
      <c r="P5" s="219">
        <v>0.58665373082639505</v>
      </c>
      <c r="Q5" s="219">
        <v>9.7031150821450002E-2</v>
      </c>
      <c r="R5" s="219">
        <v>0.12794069158479801</v>
      </c>
      <c r="S5" s="219">
        <v>0.58077289963754597</v>
      </c>
      <c r="T5" s="219">
        <v>0.67037037300000002</v>
      </c>
      <c r="U5" s="219">
        <v>0.36999999300000003</v>
      </c>
      <c r="V5" s="219">
        <v>8.4179883180536294E-5</v>
      </c>
      <c r="W5" s="219">
        <v>0</v>
      </c>
      <c r="X5" s="219">
        <v>0</v>
      </c>
      <c r="Y5" s="219">
        <v>0.73249999700000001</v>
      </c>
      <c r="Z5" s="219">
        <v>0.74514285800000002</v>
      </c>
      <c r="AA5" s="219">
        <v>0.79596561366666096</v>
      </c>
      <c r="AB5" s="219">
        <v>0.79498018500000001</v>
      </c>
      <c r="AC5" s="219">
        <v>0</v>
      </c>
      <c r="AD5" s="219">
        <v>0</v>
      </c>
      <c r="AE5" s="219">
        <v>0.25</v>
      </c>
      <c r="AF5" s="219">
        <v>0</v>
      </c>
    </row>
    <row r="6" spans="1:32" ht="18.75" x14ac:dyDescent="0.35">
      <c r="A6" s="21">
        <v>3</v>
      </c>
      <c r="B6" s="20" t="s">
        <v>2845</v>
      </c>
      <c r="C6" s="219">
        <v>0</v>
      </c>
      <c r="D6" s="219">
        <v>0</v>
      </c>
      <c r="E6" s="219">
        <v>0</v>
      </c>
      <c r="F6" s="219">
        <v>0</v>
      </c>
      <c r="G6" s="219">
        <v>0</v>
      </c>
      <c r="H6" s="219">
        <v>0</v>
      </c>
      <c r="I6" s="219">
        <v>0.249999997</v>
      </c>
      <c r="J6" s="219">
        <v>0.152612304734176</v>
      </c>
      <c r="K6" s="219">
        <v>0.249999997</v>
      </c>
      <c r="L6" s="219">
        <v>0.249999997</v>
      </c>
      <c r="M6" s="219">
        <v>0.29791666249999998</v>
      </c>
      <c r="N6" s="219">
        <v>0</v>
      </c>
      <c r="O6" s="219">
        <v>6.1000180389013496E-3</v>
      </c>
      <c r="P6" s="219">
        <v>4.4198077574447298E-2</v>
      </c>
      <c r="Q6" s="219">
        <v>0.55458683560148903</v>
      </c>
      <c r="R6" s="219">
        <v>0.381106839746023</v>
      </c>
      <c r="S6" s="219">
        <v>0</v>
      </c>
      <c r="T6" s="219">
        <v>0</v>
      </c>
      <c r="U6" s="219">
        <v>0</v>
      </c>
      <c r="V6" s="219">
        <v>1.8163383572738102E-2</v>
      </c>
      <c r="W6" s="219">
        <v>0.38766241415762898</v>
      </c>
      <c r="X6" s="219">
        <v>0</v>
      </c>
      <c r="Y6" s="219">
        <v>0</v>
      </c>
      <c r="Z6" s="219">
        <v>0</v>
      </c>
      <c r="AA6" s="219">
        <v>0</v>
      </c>
      <c r="AB6" s="219">
        <v>0</v>
      </c>
      <c r="AC6" s="219">
        <v>0</v>
      </c>
      <c r="AD6" s="219">
        <v>0</v>
      </c>
      <c r="AE6" s="219">
        <v>0</v>
      </c>
      <c r="AF6" s="219">
        <v>0.25</v>
      </c>
    </row>
    <row r="7" spans="1:32" x14ac:dyDescent="0.25">
      <c r="A7" s="21">
        <v>4</v>
      </c>
      <c r="B7" s="95" t="s">
        <v>353</v>
      </c>
      <c r="C7" s="219">
        <v>0.63759543500000004</v>
      </c>
      <c r="D7" s="219">
        <v>0.63759543500000004</v>
      </c>
      <c r="E7" s="219">
        <v>0.63759543500000004</v>
      </c>
      <c r="F7" s="219">
        <v>0</v>
      </c>
      <c r="G7" s="219">
        <v>0</v>
      </c>
      <c r="H7" s="219">
        <v>0</v>
      </c>
      <c r="I7" s="219">
        <v>0</v>
      </c>
      <c r="J7" s="219">
        <v>0</v>
      </c>
      <c r="K7" s="219">
        <v>0</v>
      </c>
      <c r="L7" s="219">
        <v>0</v>
      </c>
      <c r="M7" s="219">
        <v>0</v>
      </c>
      <c r="N7" s="219">
        <v>0</v>
      </c>
      <c r="O7" s="219">
        <v>0</v>
      </c>
      <c r="P7" s="219">
        <v>0</v>
      </c>
      <c r="Q7" s="219">
        <v>0</v>
      </c>
      <c r="R7" s="219">
        <v>0</v>
      </c>
      <c r="S7" s="219">
        <v>0</v>
      </c>
      <c r="T7" s="219">
        <v>0</v>
      </c>
      <c r="U7" s="219">
        <v>0</v>
      </c>
      <c r="V7" s="219">
        <v>0</v>
      </c>
      <c r="W7" s="219">
        <v>0</v>
      </c>
      <c r="X7" s="219">
        <v>0</v>
      </c>
      <c r="Y7" s="219">
        <v>0</v>
      </c>
      <c r="Z7" s="219">
        <v>0</v>
      </c>
      <c r="AA7" s="219">
        <v>0</v>
      </c>
      <c r="AB7" s="219">
        <v>0</v>
      </c>
      <c r="AC7" s="219">
        <v>0</v>
      </c>
      <c r="AD7" s="219">
        <v>0</v>
      </c>
      <c r="AE7" s="219">
        <v>0</v>
      </c>
      <c r="AF7" s="219">
        <v>0</v>
      </c>
    </row>
    <row r="8" spans="1:32" x14ac:dyDescent="0.25">
      <c r="A8" s="21">
        <v>5</v>
      </c>
      <c r="B8" s="95" t="s">
        <v>1863</v>
      </c>
      <c r="C8" s="219">
        <v>0.36240456500000001</v>
      </c>
      <c r="D8" s="219">
        <v>0.36240456500000001</v>
      </c>
      <c r="E8" s="219">
        <v>0.36240456500000001</v>
      </c>
      <c r="F8" s="219">
        <v>0</v>
      </c>
      <c r="G8" s="219">
        <v>0</v>
      </c>
      <c r="H8" s="219">
        <v>0</v>
      </c>
      <c r="I8" s="219">
        <v>0</v>
      </c>
      <c r="J8" s="219">
        <v>0</v>
      </c>
      <c r="K8" s="219">
        <v>0</v>
      </c>
      <c r="L8" s="219">
        <v>0</v>
      </c>
      <c r="M8" s="219">
        <v>0</v>
      </c>
      <c r="N8" s="219">
        <v>0</v>
      </c>
      <c r="O8" s="219">
        <v>0</v>
      </c>
      <c r="P8" s="219">
        <v>0</v>
      </c>
      <c r="Q8" s="219">
        <v>0</v>
      </c>
      <c r="R8" s="219">
        <v>0</v>
      </c>
      <c r="S8" s="219">
        <v>0</v>
      </c>
      <c r="T8" s="219">
        <v>0</v>
      </c>
      <c r="U8" s="219">
        <v>0</v>
      </c>
      <c r="V8" s="219">
        <v>0</v>
      </c>
      <c r="W8" s="219">
        <v>0</v>
      </c>
      <c r="X8" s="219">
        <v>0</v>
      </c>
      <c r="Y8" s="219">
        <v>0</v>
      </c>
      <c r="Z8" s="219">
        <v>0</v>
      </c>
      <c r="AA8" s="219">
        <v>0</v>
      </c>
      <c r="AB8" s="219">
        <v>0</v>
      </c>
      <c r="AC8" s="219">
        <v>0</v>
      </c>
      <c r="AD8" s="219">
        <v>0</v>
      </c>
      <c r="AE8" s="219">
        <v>0</v>
      </c>
      <c r="AF8" s="219">
        <v>0</v>
      </c>
    </row>
    <row r="9" spans="1:32" x14ac:dyDescent="0.25">
      <c r="A9" s="21">
        <v>6</v>
      </c>
      <c r="B9" s="95" t="s">
        <v>1864</v>
      </c>
      <c r="C9" s="219">
        <v>0</v>
      </c>
      <c r="D9" s="219">
        <v>0</v>
      </c>
      <c r="E9" s="219">
        <v>0</v>
      </c>
      <c r="F9" s="219">
        <v>0.29062696213761902</v>
      </c>
      <c r="G9" s="219">
        <v>0</v>
      </c>
      <c r="H9" s="219">
        <v>0</v>
      </c>
      <c r="I9" s="219">
        <v>0</v>
      </c>
      <c r="J9" s="219">
        <v>0</v>
      </c>
      <c r="K9" s="219">
        <v>0</v>
      </c>
      <c r="L9" s="219">
        <v>0</v>
      </c>
      <c r="M9" s="219">
        <v>0</v>
      </c>
      <c r="N9" s="219">
        <v>0</v>
      </c>
      <c r="O9" s="219">
        <v>0</v>
      </c>
      <c r="P9" s="219">
        <v>0</v>
      </c>
      <c r="Q9" s="219">
        <v>0</v>
      </c>
      <c r="R9" s="219">
        <v>0</v>
      </c>
      <c r="S9" s="219">
        <v>0</v>
      </c>
      <c r="T9" s="219">
        <v>0</v>
      </c>
      <c r="U9" s="219">
        <v>0</v>
      </c>
      <c r="V9" s="219">
        <v>0</v>
      </c>
      <c r="W9" s="219">
        <v>0</v>
      </c>
      <c r="X9" s="219">
        <v>0</v>
      </c>
      <c r="Y9" s="219">
        <v>0</v>
      </c>
      <c r="Z9" s="219">
        <v>0</v>
      </c>
      <c r="AA9" s="219">
        <v>0</v>
      </c>
      <c r="AB9" s="219">
        <v>0</v>
      </c>
      <c r="AC9" s="219">
        <v>0</v>
      </c>
      <c r="AD9" s="219">
        <v>0</v>
      </c>
      <c r="AE9" s="219">
        <v>1.5595470800015301E-2</v>
      </c>
      <c r="AF9" s="219">
        <v>0</v>
      </c>
    </row>
    <row r="10" spans="1:32" x14ac:dyDescent="0.25">
      <c r="A10" s="21">
        <v>7</v>
      </c>
      <c r="B10" s="95" t="s">
        <v>1865</v>
      </c>
      <c r="C10" s="219">
        <v>0</v>
      </c>
      <c r="D10" s="219">
        <v>0</v>
      </c>
      <c r="E10" s="219">
        <v>0</v>
      </c>
      <c r="F10" s="219">
        <v>0.62885911251948501</v>
      </c>
      <c r="G10" s="219">
        <v>0</v>
      </c>
      <c r="H10" s="219">
        <v>0.72811427883948399</v>
      </c>
      <c r="I10" s="219">
        <v>0</v>
      </c>
      <c r="J10" s="219">
        <v>0</v>
      </c>
      <c r="K10" s="219">
        <v>0</v>
      </c>
      <c r="L10" s="219">
        <v>0</v>
      </c>
      <c r="M10" s="219">
        <v>0</v>
      </c>
      <c r="N10" s="219">
        <v>0</v>
      </c>
      <c r="O10" s="219">
        <v>0</v>
      </c>
      <c r="P10" s="219">
        <v>0</v>
      </c>
      <c r="Q10" s="219">
        <v>0</v>
      </c>
      <c r="R10" s="219">
        <v>0</v>
      </c>
      <c r="S10" s="219">
        <v>0</v>
      </c>
      <c r="T10" s="219">
        <v>0</v>
      </c>
      <c r="U10" s="219">
        <v>0</v>
      </c>
      <c r="V10" s="219">
        <v>0</v>
      </c>
      <c r="W10" s="219">
        <v>0</v>
      </c>
      <c r="X10" s="219">
        <v>0</v>
      </c>
      <c r="Y10" s="219">
        <v>0</v>
      </c>
      <c r="Z10" s="219">
        <v>0</v>
      </c>
      <c r="AA10" s="219">
        <v>0</v>
      </c>
      <c r="AB10" s="219">
        <v>0</v>
      </c>
      <c r="AC10" s="219">
        <v>0</v>
      </c>
      <c r="AD10" s="219">
        <v>0</v>
      </c>
      <c r="AE10" s="219">
        <v>0.48323392841042301</v>
      </c>
      <c r="AF10" s="219">
        <v>0.44518521070454098</v>
      </c>
    </row>
    <row r="11" spans="1:32" x14ac:dyDescent="0.25">
      <c r="A11" s="21">
        <v>8</v>
      </c>
      <c r="B11" s="95" t="s">
        <v>1866</v>
      </c>
      <c r="C11" s="219">
        <v>0</v>
      </c>
      <c r="D11" s="219">
        <v>0</v>
      </c>
      <c r="E11" s="219">
        <v>0</v>
      </c>
      <c r="F11" s="219">
        <v>5.8055905124429995E-4</v>
      </c>
      <c r="G11" s="219">
        <v>2.0428098078078801E-3</v>
      </c>
      <c r="H11" s="219">
        <v>0</v>
      </c>
      <c r="I11" s="219">
        <v>3.8153480031002502E-3</v>
      </c>
      <c r="J11" s="219">
        <v>0</v>
      </c>
      <c r="K11" s="219">
        <v>0</v>
      </c>
      <c r="L11" s="219">
        <v>0</v>
      </c>
      <c r="M11" s="219">
        <v>0</v>
      </c>
      <c r="N11" s="219">
        <v>0</v>
      </c>
      <c r="O11" s="219">
        <v>0</v>
      </c>
      <c r="P11" s="219">
        <v>0</v>
      </c>
      <c r="Q11" s="219">
        <v>0</v>
      </c>
      <c r="R11" s="219">
        <v>6.3824695226135202E-3</v>
      </c>
      <c r="S11" s="219">
        <v>0</v>
      </c>
      <c r="T11" s="219">
        <v>0</v>
      </c>
      <c r="U11" s="219">
        <v>3.62207073249282E-2</v>
      </c>
      <c r="V11" s="219">
        <v>1.9655217965478599E-2</v>
      </c>
      <c r="W11" s="219">
        <v>0</v>
      </c>
      <c r="X11" s="219">
        <v>2.83421324557168E-2</v>
      </c>
      <c r="Y11" s="219">
        <v>0</v>
      </c>
      <c r="Z11" s="219">
        <v>0</v>
      </c>
      <c r="AA11" s="219">
        <v>0</v>
      </c>
      <c r="AB11" s="219">
        <v>0</v>
      </c>
      <c r="AC11" s="219">
        <v>0</v>
      </c>
      <c r="AD11" s="219">
        <v>0</v>
      </c>
      <c r="AE11" s="219">
        <v>7.7936120036957903E-3</v>
      </c>
      <c r="AF11" s="219">
        <v>1.28493061820142E-2</v>
      </c>
    </row>
    <row r="12" spans="1:32" x14ac:dyDescent="0.25">
      <c r="A12" s="21">
        <v>9</v>
      </c>
      <c r="B12" s="95" t="s">
        <v>1867</v>
      </c>
      <c r="C12" s="219">
        <v>0</v>
      </c>
      <c r="D12" s="219">
        <v>0</v>
      </c>
      <c r="E12" s="219">
        <v>0</v>
      </c>
      <c r="F12" s="219">
        <v>6.0506829947907105E-4</v>
      </c>
      <c r="G12" s="219">
        <v>0</v>
      </c>
      <c r="H12" s="219">
        <v>0</v>
      </c>
      <c r="I12" s="219">
        <v>3.6819175622767502E-4</v>
      </c>
      <c r="J12" s="219">
        <v>0</v>
      </c>
      <c r="K12" s="219">
        <v>0</v>
      </c>
      <c r="L12" s="219">
        <v>0</v>
      </c>
      <c r="M12" s="219">
        <v>0</v>
      </c>
      <c r="N12" s="219">
        <v>0</v>
      </c>
      <c r="O12" s="219">
        <v>0</v>
      </c>
      <c r="P12" s="219">
        <v>0</v>
      </c>
      <c r="Q12" s="219">
        <v>0</v>
      </c>
      <c r="R12" s="219">
        <v>0</v>
      </c>
      <c r="S12" s="219">
        <v>0</v>
      </c>
      <c r="T12" s="219">
        <v>0</v>
      </c>
      <c r="U12" s="219">
        <v>0</v>
      </c>
      <c r="V12" s="219">
        <v>0</v>
      </c>
      <c r="W12" s="219">
        <v>0</v>
      </c>
      <c r="X12" s="219">
        <v>0</v>
      </c>
      <c r="Y12" s="219">
        <v>0</v>
      </c>
      <c r="Z12" s="219">
        <v>0</v>
      </c>
      <c r="AA12" s="219">
        <v>0</v>
      </c>
      <c r="AB12" s="219">
        <v>0</v>
      </c>
      <c r="AC12" s="219">
        <v>0</v>
      </c>
      <c r="AD12" s="219">
        <v>0</v>
      </c>
      <c r="AE12" s="219">
        <v>1.8634299991238501E-3</v>
      </c>
      <c r="AF12" s="219">
        <v>2.65827452221272E-2</v>
      </c>
    </row>
    <row r="13" spans="1:32" x14ac:dyDescent="0.25">
      <c r="A13" s="21">
        <v>10</v>
      </c>
      <c r="B13" s="95" t="s">
        <v>1868</v>
      </c>
      <c r="C13" s="219">
        <v>0</v>
      </c>
      <c r="D13" s="219">
        <v>0</v>
      </c>
      <c r="E13" s="219">
        <v>0</v>
      </c>
      <c r="F13" s="219">
        <v>2.33734544328301E-2</v>
      </c>
      <c r="G13" s="219">
        <v>0</v>
      </c>
      <c r="H13" s="219">
        <v>2.5652735142727399E-2</v>
      </c>
      <c r="I13" s="219">
        <v>1.44510884866477E-2</v>
      </c>
      <c r="J13" s="219">
        <v>3.9896344503568902E-2</v>
      </c>
      <c r="K13" s="219">
        <v>0</v>
      </c>
      <c r="L13" s="219">
        <v>0</v>
      </c>
      <c r="M13" s="219">
        <v>0</v>
      </c>
      <c r="N13" s="219">
        <v>0</v>
      </c>
      <c r="O13" s="219">
        <v>0</v>
      </c>
      <c r="P13" s="219">
        <v>0</v>
      </c>
      <c r="Q13" s="219">
        <v>0</v>
      </c>
      <c r="R13" s="219">
        <v>0</v>
      </c>
      <c r="S13" s="219">
        <v>0</v>
      </c>
      <c r="T13" s="219">
        <v>0</v>
      </c>
      <c r="U13" s="219">
        <v>0</v>
      </c>
      <c r="V13" s="219">
        <v>0</v>
      </c>
      <c r="W13" s="219">
        <v>0</v>
      </c>
      <c r="X13" s="219">
        <v>0</v>
      </c>
      <c r="Y13" s="219">
        <v>0</v>
      </c>
      <c r="Z13" s="219">
        <v>0</v>
      </c>
      <c r="AA13" s="219">
        <v>0</v>
      </c>
      <c r="AB13" s="219">
        <v>0</v>
      </c>
      <c r="AC13" s="219">
        <v>0</v>
      </c>
      <c r="AD13" s="219">
        <v>0</v>
      </c>
      <c r="AE13" s="219">
        <v>5.4244919297895697E-2</v>
      </c>
      <c r="AF13" s="219">
        <v>0</v>
      </c>
    </row>
    <row r="14" spans="1:32" x14ac:dyDescent="0.25">
      <c r="A14" s="21">
        <v>11</v>
      </c>
      <c r="B14" s="95" t="s">
        <v>354</v>
      </c>
      <c r="C14" s="219">
        <v>0</v>
      </c>
      <c r="D14" s="219">
        <v>0</v>
      </c>
      <c r="E14" s="219">
        <v>0</v>
      </c>
      <c r="F14" s="219">
        <v>0</v>
      </c>
      <c r="G14" s="219">
        <v>0</v>
      </c>
      <c r="H14" s="219">
        <v>6.6400626377947896E-3</v>
      </c>
      <c r="I14" s="219">
        <v>1.4781850136940399E-2</v>
      </c>
      <c r="J14" s="219">
        <v>6.8368662962711699E-2</v>
      </c>
      <c r="K14" s="219">
        <v>0.227188936849539</v>
      </c>
      <c r="L14" s="219">
        <v>9.5469017871523898E-2</v>
      </c>
      <c r="M14" s="219">
        <v>0</v>
      </c>
      <c r="N14" s="219">
        <v>0</v>
      </c>
      <c r="O14" s="219">
        <v>0</v>
      </c>
      <c r="P14" s="219">
        <v>0</v>
      </c>
      <c r="Q14" s="219">
        <v>0</v>
      </c>
      <c r="R14" s="219">
        <v>0</v>
      </c>
      <c r="S14" s="219">
        <v>0</v>
      </c>
      <c r="T14" s="219">
        <v>0</v>
      </c>
      <c r="U14" s="219">
        <v>0</v>
      </c>
      <c r="V14" s="219">
        <v>0</v>
      </c>
      <c r="W14" s="219">
        <v>0</v>
      </c>
      <c r="X14" s="219">
        <v>0</v>
      </c>
      <c r="Y14" s="219">
        <v>0</v>
      </c>
      <c r="Z14" s="219">
        <v>0</v>
      </c>
      <c r="AA14" s="219">
        <v>0</v>
      </c>
      <c r="AB14" s="219">
        <v>0</v>
      </c>
      <c r="AC14" s="219">
        <v>0</v>
      </c>
      <c r="AD14" s="219">
        <v>0</v>
      </c>
      <c r="AE14" s="219">
        <v>7.2791330967533398E-3</v>
      </c>
      <c r="AF14" s="219">
        <v>0</v>
      </c>
    </row>
    <row r="15" spans="1:32" x14ac:dyDescent="0.25">
      <c r="A15" s="21">
        <v>12</v>
      </c>
      <c r="B15" s="95" t="s">
        <v>355</v>
      </c>
      <c r="C15" s="219">
        <v>0</v>
      </c>
      <c r="D15" s="219">
        <v>0</v>
      </c>
      <c r="E15" s="219">
        <v>0</v>
      </c>
      <c r="F15" s="219">
        <v>7.6856949323249601E-3</v>
      </c>
      <c r="G15" s="219">
        <v>0</v>
      </c>
      <c r="H15" s="219">
        <v>6.9943287326515403E-3</v>
      </c>
      <c r="I15" s="219">
        <v>4.5356003002912397E-3</v>
      </c>
      <c r="J15" s="219">
        <v>0</v>
      </c>
      <c r="K15" s="219">
        <v>0</v>
      </c>
      <c r="L15" s="219">
        <v>0</v>
      </c>
      <c r="M15" s="219">
        <v>0</v>
      </c>
      <c r="N15" s="219">
        <v>0</v>
      </c>
      <c r="O15" s="219">
        <v>0</v>
      </c>
      <c r="P15" s="219">
        <v>0</v>
      </c>
      <c r="Q15" s="219">
        <v>0</v>
      </c>
      <c r="R15" s="219">
        <v>0</v>
      </c>
      <c r="S15" s="219">
        <v>0</v>
      </c>
      <c r="T15" s="219">
        <v>0</v>
      </c>
      <c r="U15" s="219">
        <v>0</v>
      </c>
      <c r="V15" s="219">
        <v>0</v>
      </c>
      <c r="W15" s="219">
        <v>0</v>
      </c>
      <c r="X15" s="219">
        <v>0</v>
      </c>
      <c r="Y15" s="219">
        <v>0</v>
      </c>
      <c r="Z15" s="219">
        <v>0</v>
      </c>
      <c r="AA15" s="219">
        <v>0</v>
      </c>
      <c r="AB15" s="219">
        <v>0</v>
      </c>
      <c r="AC15" s="219">
        <v>0</v>
      </c>
      <c r="AD15" s="219">
        <v>0</v>
      </c>
      <c r="AE15" s="219">
        <v>1.63619771176529E-3</v>
      </c>
      <c r="AF15" s="219">
        <v>0</v>
      </c>
    </row>
    <row r="16" spans="1:32" x14ac:dyDescent="0.25">
      <c r="A16" s="21">
        <v>13</v>
      </c>
      <c r="B16" s="95" t="s">
        <v>1869</v>
      </c>
      <c r="C16" s="219">
        <v>0</v>
      </c>
      <c r="D16" s="219">
        <v>0</v>
      </c>
      <c r="E16" s="219">
        <v>0</v>
      </c>
      <c r="F16" s="219">
        <v>9.0160379058542995E-5</v>
      </c>
      <c r="G16" s="219">
        <v>9.7196969355520398E-4</v>
      </c>
      <c r="H16" s="219">
        <v>0</v>
      </c>
      <c r="I16" s="219">
        <v>1.6878875648000901E-2</v>
      </c>
      <c r="J16" s="219">
        <v>3.8337402011899599E-2</v>
      </c>
      <c r="K16" s="219">
        <v>0</v>
      </c>
      <c r="L16" s="219">
        <v>5.2914318584236996E-4</v>
      </c>
      <c r="M16" s="219">
        <v>0</v>
      </c>
      <c r="N16" s="219">
        <v>0</v>
      </c>
      <c r="O16" s="219">
        <v>0</v>
      </c>
      <c r="P16" s="219">
        <v>0</v>
      </c>
      <c r="Q16" s="219">
        <v>0</v>
      </c>
      <c r="R16" s="219">
        <v>0</v>
      </c>
      <c r="S16" s="219">
        <v>0</v>
      </c>
      <c r="T16" s="219">
        <v>0</v>
      </c>
      <c r="U16" s="219">
        <v>0</v>
      </c>
      <c r="V16" s="219">
        <v>5.3808567078707403E-2</v>
      </c>
      <c r="W16" s="219">
        <v>1.85918180213003E-3</v>
      </c>
      <c r="X16" s="219">
        <v>1.35780794505223E-2</v>
      </c>
      <c r="Y16" s="219">
        <v>0</v>
      </c>
      <c r="Z16" s="219">
        <v>0</v>
      </c>
      <c r="AA16" s="219">
        <v>0</v>
      </c>
      <c r="AB16" s="219">
        <v>0</v>
      </c>
      <c r="AC16" s="219">
        <v>0</v>
      </c>
      <c r="AD16" s="219">
        <v>0</v>
      </c>
      <c r="AE16" s="219">
        <v>2.4710115329579601E-2</v>
      </c>
      <c r="AF16" s="219">
        <v>0</v>
      </c>
    </row>
    <row r="17" spans="1:32" x14ac:dyDescent="0.25">
      <c r="A17" s="21">
        <v>14</v>
      </c>
      <c r="B17" s="95" t="s">
        <v>1870</v>
      </c>
      <c r="C17" s="219">
        <v>0</v>
      </c>
      <c r="D17" s="219">
        <v>0</v>
      </c>
      <c r="E17" s="219">
        <v>0</v>
      </c>
      <c r="F17" s="219">
        <v>0</v>
      </c>
      <c r="G17" s="219">
        <v>4.7850036400917201E-2</v>
      </c>
      <c r="H17" s="219">
        <v>0</v>
      </c>
      <c r="I17" s="219">
        <v>1.9857097538415001E-2</v>
      </c>
      <c r="J17" s="219">
        <v>6.7118019685081506E-2</v>
      </c>
      <c r="K17" s="219">
        <v>4.0510732402024002E-3</v>
      </c>
      <c r="L17" s="219">
        <v>1.6779541096895001E-2</v>
      </c>
      <c r="M17" s="219">
        <v>2.4533661899207498E-2</v>
      </c>
      <c r="N17" s="219">
        <v>2.4142014124030699E-2</v>
      </c>
      <c r="O17" s="219">
        <v>1.62580664658361E-2</v>
      </c>
      <c r="P17" s="219">
        <v>0</v>
      </c>
      <c r="Q17" s="219">
        <v>0</v>
      </c>
      <c r="R17" s="219">
        <v>0</v>
      </c>
      <c r="S17" s="219">
        <v>0</v>
      </c>
      <c r="T17" s="219">
        <v>0</v>
      </c>
      <c r="U17" s="219">
        <v>0</v>
      </c>
      <c r="V17" s="219">
        <v>7.4760677734783398E-2</v>
      </c>
      <c r="W17" s="219">
        <v>3.0866929538425403E-4</v>
      </c>
      <c r="X17" s="219">
        <v>4.6851584986201903E-3</v>
      </c>
      <c r="Y17" s="219">
        <v>0</v>
      </c>
      <c r="Z17" s="219">
        <v>0</v>
      </c>
      <c r="AA17" s="219">
        <v>0</v>
      </c>
      <c r="AB17" s="219">
        <v>0</v>
      </c>
      <c r="AC17" s="219">
        <v>0</v>
      </c>
      <c r="AD17" s="219">
        <v>0</v>
      </c>
      <c r="AE17" s="219">
        <v>6.7307083348196697E-2</v>
      </c>
      <c r="AF17" s="219">
        <v>0</v>
      </c>
    </row>
    <row r="18" spans="1:32" x14ac:dyDescent="0.25">
      <c r="A18" s="21">
        <v>15</v>
      </c>
      <c r="B18" s="95" t="s">
        <v>1871</v>
      </c>
      <c r="C18" s="219">
        <v>0</v>
      </c>
      <c r="D18" s="219">
        <v>0</v>
      </c>
      <c r="E18" s="219">
        <v>0</v>
      </c>
      <c r="F18" s="219">
        <v>0</v>
      </c>
      <c r="G18" s="219">
        <v>5.3268860358059102E-4</v>
      </c>
      <c r="H18" s="219">
        <v>0</v>
      </c>
      <c r="I18" s="219">
        <v>2.0146962460481301E-4</v>
      </c>
      <c r="J18" s="219">
        <v>3.8925108285307099E-4</v>
      </c>
      <c r="K18" s="219">
        <v>3.2755047833710999E-6</v>
      </c>
      <c r="L18" s="219">
        <v>8.9153032987553896E-7</v>
      </c>
      <c r="M18" s="219">
        <v>0</v>
      </c>
      <c r="N18" s="219">
        <v>4.6726136334274202E-6</v>
      </c>
      <c r="O18" s="219">
        <v>1.6816479946966101E-5</v>
      </c>
      <c r="P18" s="219">
        <v>4.7492591874289296E-3</v>
      </c>
      <c r="Q18" s="219">
        <v>0</v>
      </c>
      <c r="R18" s="219">
        <v>5.4496434742467702E-2</v>
      </c>
      <c r="S18" s="219">
        <v>0</v>
      </c>
      <c r="T18" s="219">
        <v>0</v>
      </c>
      <c r="U18" s="219">
        <v>2.2213091786988E-4</v>
      </c>
      <c r="V18" s="219">
        <v>2.04108517098841E-2</v>
      </c>
      <c r="W18" s="219">
        <v>2.4989157121343801E-3</v>
      </c>
      <c r="X18" s="219">
        <v>3.31085125008882E-5</v>
      </c>
      <c r="Y18" s="219">
        <v>0</v>
      </c>
      <c r="Z18" s="219">
        <v>0</v>
      </c>
      <c r="AA18" s="219">
        <v>0</v>
      </c>
      <c r="AB18" s="219">
        <v>0</v>
      </c>
      <c r="AC18" s="219">
        <v>0</v>
      </c>
      <c r="AD18" s="219">
        <v>0</v>
      </c>
      <c r="AE18" s="219">
        <v>2.7126074985206602E-3</v>
      </c>
      <c r="AF18" s="219">
        <v>1.0442976388221801E-3</v>
      </c>
    </row>
    <row r="19" spans="1:32" x14ac:dyDescent="0.25">
      <c r="A19" s="21">
        <v>16</v>
      </c>
      <c r="B19" s="95" t="s">
        <v>1872</v>
      </c>
      <c r="C19" s="219">
        <v>0</v>
      </c>
      <c r="D19" s="219">
        <v>0</v>
      </c>
      <c r="E19" s="219">
        <v>0</v>
      </c>
      <c r="F19" s="219">
        <v>2.89466852972687E-4</v>
      </c>
      <c r="G19" s="219">
        <v>6.8163633141765101E-3</v>
      </c>
      <c r="H19" s="219">
        <v>0</v>
      </c>
      <c r="I19" s="219">
        <v>7.7570423068990899E-3</v>
      </c>
      <c r="J19" s="219">
        <v>0.24289047565768701</v>
      </c>
      <c r="K19" s="219">
        <v>4.3999725500777398E-5</v>
      </c>
      <c r="L19" s="219">
        <v>3.06103337995837E-4</v>
      </c>
      <c r="M19" s="219">
        <v>4.3777178551335201E-3</v>
      </c>
      <c r="N19" s="219">
        <v>2.6921150014147299E-2</v>
      </c>
      <c r="O19" s="219">
        <v>2.3406050687329899E-2</v>
      </c>
      <c r="P19" s="219">
        <v>5.2504651796723197E-3</v>
      </c>
      <c r="Q19" s="219">
        <v>6.0598629680360103E-2</v>
      </c>
      <c r="R19" s="219">
        <v>0</v>
      </c>
      <c r="S19" s="219">
        <v>0</v>
      </c>
      <c r="T19" s="219">
        <v>0</v>
      </c>
      <c r="U19" s="219">
        <v>7.8886078081624997E-2</v>
      </c>
      <c r="V19" s="219">
        <v>0.45014941354645399</v>
      </c>
      <c r="W19" s="219">
        <v>8.2782962204079099E-3</v>
      </c>
      <c r="X19" s="219">
        <v>0.16859067687094401</v>
      </c>
      <c r="Y19" s="219">
        <v>0</v>
      </c>
      <c r="Z19" s="219">
        <v>0</v>
      </c>
      <c r="AA19" s="219">
        <v>0</v>
      </c>
      <c r="AB19" s="219">
        <v>0</v>
      </c>
      <c r="AC19" s="219">
        <v>0</v>
      </c>
      <c r="AD19" s="219">
        <v>0</v>
      </c>
      <c r="AE19" s="219">
        <v>2.3774915936464101E-2</v>
      </c>
      <c r="AF19" s="219">
        <v>1.3964368980597E-3</v>
      </c>
    </row>
    <row r="20" spans="1:32" x14ac:dyDescent="0.25">
      <c r="A20" s="21">
        <v>17</v>
      </c>
      <c r="B20" s="95" t="s">
        <v>1873</v>
      </c>
      <c r="C20" s="219">
        <v>0</v>
      </c>
      <c r="D20" s="219">
        <v>0</v>
      </c>
      <c r="E20" s="219">
        <v>0</v>
      </c>
      <c r="F20" s="219">
        <v>0</v>
      </c>
      <c r="G20" s="219">
        <v>5.2592706413005301E-5</v>
      </c>
      <c r="H20" s="219">
        <v>0</v>
      </c>
      <c r="I20" s="219">
        <v>0</v>
      </c>
      <c r="J20" s="219">
        <v>5.64552824820108E-4</v>
      </c>
      <c r="K20" s="219">
        <v>0</v>
      </c>
      <c r="L20" s="219">
        <v>3.9044895639371797E-9</v>
      </c>
      <c r="M20" s="219">
        <v>0</v>
      </c>
      <c r="N20" s="219">
        <v>4.2475398719112002E-3</v>
      </c>
      <c r="O20" s="219">
        <v>7.7779790875084096E-4</v>
      </c>
      <c r="P20" s="219">
        <v>4.2010464823499802E-3</v>
      </c>
      <c r="Q20" s="219">
        <v>1.0406690444977401E-3</v>
      </c>
      <c r="R20" s="219">
        <v>1.9435711799202901E-3</v>
      </c>
      <c r="S20" s="219">
        <v>0</v>
      </c>
      <c r="T20" s="219">
        <v>8.0785333220781599E-3</v>
      </c>
      <c r="U20" s="219">
        <v>6.98102448958598E-3</v>
      </c>
      <c r="V20" s="219">
        <v>8.3605464573645906E-3</v>
      </c>
      <c r="W20" s="219">
        <v>6.12198228383566E-6</v>
      </c>
      <c r="X20" s="219">
        <v>1.44821976061558E-4</v>
      </c>
      <c r="Y20" s="219">
        <v>0</v>
      </c>
      <c r="Z20" s="219">
        <v>0</v>
      </c>
      <c r="AA20" s="219">
        <v>6.02814581159052E-4</v>
      </c>
      <c r="AB20" s="219">
        <v>0</v>
      </c>
      <c r="AC20" s="219">
        <v>0</v>
      </c>
      <c r="AD20" s="219">
        <v>0</v>
      </c>
      <c r="AE20" s="219">
        <v>1.13893034499929E-8</v>
      </c>
      <c r="AF20" s="219">
        <v>0</v>
      </c>
    </row>
    <row r="21" spans="1:32" x14ac:dyDescent="0.25">
      <c r="A21" s="21">
        <v>18</v>
      </c>
      <c r="B21" s="95" t="s">
        <v>1874</v>
      </c>
      <c r="C21" s="219">
        <v>0</v>
      </c>
      <c r="D21" s="219">
        <v>0</v>
      </c>
      <c r="E21" s="219">
        <v>0</v>
      </c>
      <c r="F21" s="219">
        <v>0</v>
      </c>
      <c r="G21" s="219">
        <v>0</v>
      </c>
      <c r="H21" s="219">
        <v>0</v>
      </c>
      <c r="I21" s="219">
        <v>3.0568012871132102E-4</v>
      </c>
      <c r="J21" s="219">
        <v>5.7355967513820897E-4</v>
      </c>
      <c r="K21" s="219">
        <v>0</v>
      </c>
      <c r="L21" s="219">
        <v>0</v>
      </c>
      <c r="M21" s="219">
        <v>0</v>
      </c>
      <c r="N21" s="219">
        <v>2.0878509289966301E-2</v>
      </c>
      <c r="O21" s="219">
        <v>4.4308701765442597E-2</v>
      </c>
      <c r="P21" s="219">
        <v>3.6624976521503698E-2</v>
      </c>
      <c r="Q21" s="219">
        <v>2.7579667965170002E-2</v>
      </c>
      <c r="R21" s="219">
        <v>4.9597243972996502E-3</v>
      </c>
      <c r="S21" s="219">
        <v>0</v>
      </c>
      <c r="T21" s="219">
        <v>0</v>
      </c>
      <c r="U21" s="219">
        <v>8.6670219416280003E-2</v>
      </c>
      <c r="V21" s="219">
        <v>4.0470551080399798E-2</v>
      </c>
      <c r="W21" s="219">
        <v>1.03090217550287E-3</v>
      </c>
      <c r="X21" s="219">
        <v>1.4116301340663601E-3</v>
      </c>
      <c r="Y21" s="219">
        <v>0</v>
      </c>
      <c r="Z21" s="219">
        <v>0</v>
      </c>
      <c r="AA21" s="219">
        <v>0</v>
      </c>
      <c r="AB21" s="219">
        <v>0</v>
      </c>
      <c r="AC21" s="219">
        <v>0</v>
      </c>
      <c r="AD21" s="219">
        <v>0</v>
      </c>
      <c r="AE21" s="219">
        <v>3.6140921408829498E-4</v>
      </c>
      <c r="AF21" s="219">
        <v>0</v>
      </c>
    </row>
    <row r="22" spans="1:32" x14ac:dyDescent="0.25">
      <c r="A22" s="21">
        <v>19</v>
      </c>
      <c r="B22" s="95" t="s">
        <v>1875</v>
      </c>
      <c r="C22" s="219">
        <v>0</v>
      </c>
      <c r="D22" s="219">
        <v>0</v>
      </c>
      <c r="E22" s="219">
        <v>0</v>
      </c>
      <c r="F22" s="219">
        <v>0</v>
      </c>
      <c r="G22" s="219">
        <v>0</v>
      </c>
      <c r="H22" s="219">
        <v>0</v>
      </c>
      <c r="I22" s="219">
        <v>1.2239821384039699E-3</v>
      </c>
      <c r="J22" s="219">
        <v>1.08830298112189E-2</v>
      </c>
      <c r="K22" s="219">
        <v>1.6887781832952E-2</v>
      </c>
      <c r="L22" s="219">
        <v>3.3416547506862101E-3</v>
      </c>
      <c r="M22" s="219">
        <v>0</v>
      </c>
      <c r="N22" s="219">
        <v>0</v>
      </c>
      <c r="O22" s="219">
        <v>0</v>
      </c>
      <c r="P22" s="219">
        <v>2.2307616477869E-2</v>
      </c>
      <c r="Q22" s="219">
        <v>0</v>
      </c>
      <c r="R22" s="219">
        <v>1.7781913821020599E-4</v>
      </c>
      <c r="S22" s="219">
        <v>0</v>
      </c>
      <c r="T22" s="219">
        <v>0</v>
      </c>
      <c r="U22" s="219">
        <v>0</v>
      </c>
      <c r="V22" s="219">
        <v>6.8237593055552499E-3</v>
      </c>
      <c r="W22" s="219">
        <v>0</v>
      </c>
      <c r="X22" s="219">
        <v>5.9253905322171002E-3</v>
      </c>
      <c r="Y22" s="219">
        <v>0</v>
      </c>
      <c r="Z22" s="219">
        <v>0</v>
      </c>
      <c r="AA22" s="219">
        <v>0</v>
      </c>
      <c r="AB22" s="219">
        <v>0</v>
      </c>
      <c r="AC22" s="219">
        <v>0</v>
      </c>
      <c r="AD22" s="219">
        <v>0</v>
      </c>
      <c r="AE22" s="219">
        <v>3.8579679772136099E-3</v>
      </c>
      <c r="AF22" s="219">
        <v>0</v>
      </c>
    </row>
    <row r="23" spans="1:32" x14ac:dyDescent="0.25">
      <c r="A23" s="21">
        <v>20</v>
      </c>
      <c r="B23" s="95" t="s">
        <v>1876</v>
      </c>
      <c r="C23" s="219">
        <v>0</v>
      </c>
      <c r="D23" s="219">
        <v>0</v>
      </c>
      <c r="E23" s="219">
        <v>0</v>
      </c>
      <c r="F23" s="219">
        <v>5.4799477672611797E-3</v>
      </c>
      <c r="G23" s="219">
        <v>1.7253985253621099E-2</v>
      </c>
      <c r="H23" s="219">
        <v>0</v>
      </c>
      <c r="I23" s="219">
        <v>1.73016072596347E-3</v>
      </c>
      <c r="J23" s="219">
        <v>0</v>
      </c>
      <c r="K23" s="219">
        <v>0</v>
      </c>
      <c r="L23" s="219">
        <v>0</v>
      </c>
      <c r="M23" s="219">
        <v>0</v>
      </c>
      <c r="N23" s="219">
        <v>0</v>
      </c>
      <c r="O23" s="219">
        <v>0</v>
      </c>
      <c r="P23" s="219">
        <v>0</v>
      </c>
      <c r="Q23" s="219">
        <v>0</v>
      </c>
      <c r="R23" s="219">
        <v>3.0016193048579401E-2</v>
      </c>
      <c r="S23" s="219">
        <v>0</v>
      </c>
      <c r="T23" s="219">
        <v>0</v>
      </c>
      <c r="U23" s="219">
        <v>0</v>
      </c>
      <c r="V23" s="219">
        <v>0</v>
      </c>
      <c r="W23" s="219">
        <v>2.9339838816641199E-2</v>
      </c>
      <c r="X23" s="219">
        <v>5.2325657291810601E-2</v>
      </c>
      <c r="Y23" s="219">
        <v>0</v>
      </c>
      <c r="Z23" s="219">
        <v>0</v>
      </c>
      <c r="AA23" s="219">
        <v>0</v>
      </c>
      <c r="AB23" s="219">
        <v>0</v>
      </c>
      <c r="AC23" s="219">
        <v>0</v>
      </c>
      <c r="AD23" s="219">
        <v>0</v>
      </c>
      <c r="AE23" s="219">
        <v>1.8005033361674999E-2</v>
      </c>
      <c r="AF23" s="219">
        <v>3.0151773800232901E-2</v>
      </c>
    </row>
    <row r="24" spans="1:32" x14ac:dyDescent="0.25">
      <c r="A24" s="21">
        <v>21</v>
      </c>
      <c r="B24" s="95" t="s">
        <v>1877</v>
      </c>
      <c r="C24" s="219">
        <v>0</v>
      </c>
      <c r="D24" s="219">
        <v>0</v>
      </c>
      <c r="E24" s="219">
        <v>0</v>
      </c>
      <c r="F24" s="219">
        <v>3.6142896507936402E-2</v>
      </c>
      <c r="G24" s="219">
        <v>0.11495692288553</v>
      </c>
      <c r="H24" s="219">
        <v>0</v>
      </c>
      <c r="I24" s="219">
        <v>0</v>
      </c>
      <c r="J24" s="219">
        <v>0</v>
      </c>
      <c r="K24" s="219">
        <v>0</v>
      </c>
      <c r="L24" s="219">
        <v>0</v>
      </c>
      <c r="M24" s="219">
        <v>0</v>
      </c>
      <c r="N24" s="219">
        <v>0</v>
      </c>
      <c r="O24" s="219">
        <v>0</v>
      </c>
      <c r="P24" s="219">
        <v>0</v>
      </c>
      <c r="Q24" s="219">
        <v>0</v>
      </c>
      <c r="R24" s="219">
        <v>0</v>
      </c>
      <c r="S24" s="219">
        <v>0</v>
      </c>
      <c r="T24" s="219">
        <v>0</v>
      </c>
      <c r="U24" s="219">
        <v>0</v>
      </c>
      <c r="V24" s="219">
        <v>0</v>
      </c>
      <c r="W24" s="219">
        <v>0</v>
      </c>
      <c r="X24" s="219">
        <v>0</v>
      </c>
      <c r="Y24" s="219">
        <v>0</v>
      </c>
      <c r="Z24" s="219">
        <v>0</v>
      </c>
      <c r="AA24" s="219">
        <v>0</v>
      </c>
      <c r="AB24" s="219">
        <v>0</v>
      </c>
      <c r="AC24" s="219">
        <v>0</v>
      </c>
      <c r="AD24" s="219">
        <v>0</v>
      </c>
      <c r="AE24" s="219">
        <v>1.3894387399332299E-2</v>
      </c>
      <c r="AF24" s="219">
        <v>0.16955470991413099</v>
      </c>
    </row>
    <row r="25" spans="1:32" x14ac:dyDescent="0.25">
      <c r="A25" s="21">
        <v>22</v>
      </c>
      <c r="B25" s="95" t="s">
        <v>1878</v>
      </c>
      <c r="C25" s="219">
        <v>0</v>
      </c>
      <c r="D25" s="219">
        <v>0</v>
      </c>
      <c r="E25" s="219">
        <v>0</v>
      </c>
      <c r="F25" s="219">
        <v>1.06641576374116E-3</v>
      </c>
      <c r="G25" s="219">
        <v>3.1745227919102101E-2</v>
      </c>
      <c r="H25" s="219">
        <v>0</v>
      </c>
      <c r="I25" s="219">
        <v>1.24377795537114E-4</v>
      </c>
      <c r="J25" s="219">
        <v>0</v>
      </c>
      <c r="K25" s="219">
        <v>0</v>
      </c>
      <c r="L25" s="219">
        <v>0</v>
      </c>
      <c r="M25" s="219">
        <v>0</v>
      </c>
      <c r="N25" s="219">
        <v>0</v>
      </c>
      <c r="O25" s="219">
        <v>0</v>
      </c>
      <c r="P25" s="219">
        <v>0</v>
      </c>
      <c r="Q25" s="219">
        <v>0</v>
      </c>
      <c r="R25" s="219">
        <v>0</v>
      </c>
      <c r="S25" s="219">
        <v>0</v>
      </c>
      <c r="T25" s="219">
        <v>0</v>
      </c>
      <c r="U25" s="219">
        <v>0</v>
      </c>
      <c r="V25" s="219">
        <v>6.2210355434819301E-2</v>
      </c>
      <c r="W25" s="219">
        <v>1.19172780689214E-2</v>
      </c>
      <c r="X25" s="219">
        <v>0</v>
      </c>
      <c r="Y25" s="219">
        <v>0</v>
      </c>
      <c r="Z25" s="219">
        <v>0</v>
      </c>
      <c r="AA25" s="219">
        <v>0</v>
      </c>
      <c r="AB25" s="219">
        <v>0</v>
      </c>
      <c r="AC25" s="219">
        <v>0</v>
      </c>
      <c r="AD25" s="219">
        <v>0</v>
      </c>
      <c r="AE25" s="219">
        <v>2.3622661640808201E-2</v>
      </c>
      <c r="AF25" s="219">
        <v>6.3235432500663102E-2</v>
      </c>
    </row>
    <row r="26" spans="1:32" x14ac:dyDescent="0.25">
      <c r="A26" s="21">
        <v>23</v>
      </c>
      <c r="B26" s="95" t="s">
        <v>1879</v>
      </c>
      <c r="C26" s="219">
        <v>0</v>
      </c>
      <c r="D26" s="219">
        <v>0</v>
      </c>
      <c r="E26" s="219">
        <v>0</v>
      </c>
      <c r="F26" s="219">
        <v>0</v>
      </c>
      <c r="G26" s="219">
        <v>0</v>
      </c>
      <c r="H26" s="219">
        <v>0</v>
      </c>
      <c r="I26" s="219">
        <v>0</v>
      </c>
      <c r="J26" s="219">
        <v>0</v>
      </c>
      <c r="K26" s="219">
        <v>0</v>
      </c>
      <c r="L26" s="219">
        <v>0</v>
      </c>
      <c r="M26" s="219">
        <v>0</v>
      </c>
      <c r="N26" s="219">
        <v>8.6811092923671598E-5</v>
      </c>
      <c r="O26" s="219">
        <v>7.4125136998852894E-5</v>
      </c>
      <c r="P26" s="219">
        <v>1.20564071307379E-5</v>
      </c>
      <c r="Q26" s="219">
        <v>1.5106937451570701E-4</v>
      </c>
      <c r="R26" s="219">
        <v>7.6537335860972201E-5</v>
      </c>
      <c r="S26" s="219">
        <v>0</v>
      </c>
      <c r="T26" s="219">
        <v>1.8017580517344099E-5</v>
      </c>
      <c r="U26" s="219">
        <v>1.1136849211404701E-6</v>
      </c>
      <c r="V26" s="219">
        <v>8.9773682439889096E-8</v>
      </c>
      <c r="W26" s="219">
        <v>0</v>
      </c>
      <c r="X26" s="219">
        <v>0</v>
      </c>
      <c r="Y26" s="219">
        <v>0</v>
      </c>
      <c r="Z26" s="219">
        <v>0</v>
      </c>
      <c r="AA26" s="219">
        <v>0</v>
      </c>
      <c r="AB26" s="219">
        <v>0</v>
      </c>
      <c r="AC26" s="219">
        <v>0</v>
      </c>
      <c r="AD26" s="219">
        <v>0</v>
      </c>
      <c r="AE26" s="219">
        <v>0</v>
      </c>
      <c r="AF26" s="219">
        <v>0</v>
      </c>
    </row>
    <row r="27" spans="1:32" x14ac:dyDescent="0.25">
      <c r="A27" s="21">
        <v>24</v>
      </c>
      <c r="B27" s="95" t="s">
        <v>1880</v>
      </c>
      <c r="C27" s="219">
        <v>0</v>
      </c>
      <c r="D27" s="219">
        <v>0</v>
      </c>
      <c r="E27" s="219">
        <v>0</v>
      </c>
      <c r="F27" s="219">
        <v>0</v>
      </c>
      <c r="G27" s="219">
        <v>1.3496568255237799E-6</v>
      </c>
      <c r="H27" s="219">
        <v>0</v>
      </c>
      <c r="I27" s="219">
        <v>1.71410424221845E-7</v>
      </c>
      <c r="J27" s="219">
        <v>0</v>
      </c>
      <c r="K27" s="219">
        <v>0</v>
      </c>
      <c r="L27" s="219">
        <v>1.88616537335296E-6</v>
      </c>
      <c r="M27" s="219">
        <v>7.4497593289538396E-6</v>
      </c>
      <c r="N27" s="219">
        <v>9.2611790682272904E-8</v>
      </c>
      <c r="O27" s="219">
        <v>6.2367980867531806E-8</v>
      </c>
      <c r="P27" s="219">
        <v>3.8295729167089601E-11</v>
      </c>
      <c r="Q27" s="219">
        <v>0</v>
      </c>
      <c r="R27" s="219">
        <v>5.21303024735424E-8</v>
      </c>
      <c r="S27" s="219">
        <v>0</v>
      </c>
      <c r="T27" s="219">
        <v>0</v>
      </c>
      <c r="U27" s="219">
        <v>1.4275310021006901E-6</v>
      </c>
      <c r="V27" s="219">
        <v>9.6967000250018802E-7</v>
      </c>
      <c r="W27" s="219">
        <v>0</v>
      </c>
      <c r="X27" s="219">
        <v>2.93824420025009E-10</v>
      </c>
      <c r="Y27" s="219">
        <v>0</v>
      </c>
      <c r="Z27" s="219">
        <v>0</v>
      </c>
      <c r="AA27" s="219">
        <v>0</v>
      </c>
      <c r="AB27" s="219">
        <v>0</v>
      </c>
      <c r="AC27" s="219">
        <v>0</v>
      </c>
      <c r="AD27" s="219">
        <v>0</v>
      </c>
      <c r="AE27" s="219">
        <v>2.1174504260575601E-8</v>
      </c>
      <c r="AF27" s="219">
        <v>8.7139409268805097E-8</v>
      </c>
    </row>
    <row r="28" spans="1:32" x14ac:dyDescent="0.25">
      <c r="A28" s="21">
        <v>25</v>
      </c>
      <c r="B28" s="95" t="s">
        <v>356</v>
      </c>
      <c r="C28" s="219">
        <v>0</v>
      </c>
      <c r="D28" s="219">
        <v>0</v>
      </c>
      <c r="E28" s="219">
        <v>0</v>
      </c>
      <c r="F28" s="219">
        <v>0</v>
      </c>
      <c r="G28" s="219">
        <v>0</v>
      </c>
      <c r="H28" s="219">
        <v>2.3237369301669E-6</v>
      </c>
      <c r="I28" s="219">
        <v>0</v>
      </c>
      <c r="J28" s="219">
        <v>0</v>
      </c>
      <c r="K28" s="219">
        <v>0</v>
      </c>
      <c r="L28" s="219">
        <v>0</v>
      </c>
      <c r="M28" s="219">
        <v>0</v>
      </c>
      <c r="N28" s="219">
        <v>1.00816707474383E-4</v>
      </c>
      <c r="O28" s="219">
        <v>9.76210869075671E-5</v>
      </c>
      <c r="P28" s="219">
        <v>7.5148420991600999E-4</v>
      </c>
      <c r="Q28" s="219">
        <v>8.3811598249105505E-4</v>
      </c>
      <c r="R28" s="219">
        <v>2.79985598936055E-4</v>
      </c>
      <c r="S28" s="219">
        <v>0</v>
      </c>
      <c r="T28" s="219">
        <v>1.4182445954157401E-4</v>
      </c>
      <c r="U28" s="219">
        <v>9.90183621336806E-3</v>
      </c>
      <c r="V28" s="219">
        <v>8.1929394059243504E-7</v>
      </c>
      <c r="W28" s="219">
        <v>0</v>
      </c>
      <c r="X28" s="219">
        <v>0</v>
      </c>
      <c r="Y28" s="219">
        <v>0</v>
      </c>
      <c r="Z28" s="219">
        <v>0</v>
      </c>
      <c r="AA28" s="219">
        <v>0</v>
      </c>
      <c r="AB28" s="219">
        <v>0</v>
      </c>
      <c r="AC28" s="219">
        <v>0</v>
      </c>
      <c r="AD28" s="219">
        <v>0</v>
      </c>
      <c r="AE28" s="219">
        <v>0</v>
      </c>
      <c r="AF28" s="219">
        <v>0</v>
      </c>
    </row>
    <row r="29" spans="1:32" x14ac:dyDescent="0.25">
      <c r="A29" s="21">
        <v>26</v>
      </c>
      <c r="B29" s="95" t="s">
        <v>357</v>
      </c>
      <c r="C29" s="219">
        <v>0</v>
      </c>
      <c r="D29" s="219">
        <v>0</v>
      </c>
      <c r="E29" s="219">
        <v>0</v>
      </c>
      <c r="F29" s="219">
        <v>0</v>
      </c>
      <c r="G29" s="219">
        <v>0</v>
      </c>
      <c r="H29" s="219">
        <v>0</v>
      </c>
      <c r="I29" s="219">
        <v>4.8682647761833404E-9</v>
      </c>
      <c r="J29" s="219">
        <v>0</v>
      </c>
      <c r="K29" s="219">
        <v>7.9332540665366404E-7</v>
      </c>
      <c r="L29" s="219">
        <v>0</v>
      </c>
      <c r="M29" s="219">
        <v>0</v>
      </c>
      <c r="N29" s="219">
        <v>4.31216429039132E-8</v>
      </c>
      <c r="O29" s="219">
        <v>4.2057359513769398E-8</v>
      </c>
      <c r="P29" s="219">
        <v>2.8181763628256402E-7</v>
      </c>
      <c r="Q29" s="219">
        <v>6.0215091931995195E-7</v>
      </c>
      <c r="R29" s="219">
        <v>2.20262990542965E-8</v>
      </c>
      <c r="S29" s="219">
        <v>0</v>
      </c>
      <c r="T29" s="219">
        <v>9.16152160659166E-8</v>
      </c>
      <c r="U29" s="219">
        <v>0</v>
      </c>
      <c r="V29" s="219">
        <v>0</v>
      </c>
      <c r="W29" s="219">
        <v>0</v>
      </c>
      <c r="X29" s="219">
        <v>0</v>
      </c>
      <c r="Y29" s="219">
        <v>0</v>
      </c>
      <c r="Z29" s="219">
        <v>0</v>
      </c>
      <c r="AA29" s="219">
        <v>0</v>
      </c>
      <c r="AB29" s="219">
        <v>0</v>
      </c>
      <c r="AC29" s="219">
        <v>0</v>
      </c>
      <c r="AD29" s="219">
        <v>0</v>
      </c>
      <c r="AE29" s="219">
        <v>0</v>
      </c>
      <c r="AF29" s="219">
        <v>0</v>
      </c>
    </row>
    <row r="30" spans="1:32" x14ac:dyDescent="0.25">
      <c r="A30" s="21">
        <v>27</v>
      </c>
      <c r="B30" s="95" t="s">
        <v>1882</v>
      </c>
      <c r="C30" s="219">
        <v>0</v>
      </c>
      <c r="D30" s="219">
        <v>0</v>
      </c>
      <c r="E30" s="219">
        <v>0</v>
      </c>
      <c r="F30" s="219">
        <v>0</v>
      </c>
      <c r="G30" s="219">
        <v>0</v>
      </c>
      <c r="H30" s="219">
        <v>0</v>
      </c>
      <c r="I30" s="219">
        <v>0</v>
      </c>
      <c r="J30" s="219">
        <v>0</v>
      </c>
      <c r="K30" s="219">
        <v>0</v>
      </c>
      <c r="L30" s="219">
        <v>0</v>
      </c>
      <c r="M30" s="219">
        <v>0</v>
      </c>
      <c r="N30" s="219">
        <v>1.52363726601878E-2</v>
      </c>
      <c r="O30" s="219">
        <v>1.96311496184834E-2</v>
      </c>
      <c r="P30" s="219">
        <v>3.12096022125843E-2</v>
      </c>
      <c r="Q30" s="219">
        <v>2.1639897226610302E-2</v>
      </c>
      <c r="R30" s="219">
        <v>4.64298840755418E-2</v>
      </c>
      <c r="S30" s="219">
        <v>0</v>
      </c>
      <c r="T30" s="219">
        <v>3.9239767141516703E-2</v>
      </c>
      <c r="U30" s="219">
        <v>0</v>
      </c>
      <c r="V30" s="219">
        <v>0</v>
      </c>
      <c r="W30" s="219">
        <v>0</v>
      </c>
      <c r="X30" s="219">
        <v>0</v>
      </c>
      <c r="Y30" s="219">
        <v>0</v>
      </c>
      <c r="Z30" s="219">
        <v>0</v>
      </c>
      <c r="AA30" s="219">
        <v>0</v>
      </c>
      <c r="AB30" s="219">
        <v>0</v>
      </c>
      <c r="AC30" s="219">
        <v>0</v>
      </c>
      <c r="AD30" s="219">
        <v>0</v>
      </c>
      <c r="AE30" s="219">
        <v>0</v>
      </c>
      <c r="AF30" s="219">
        <v>0</v>
      </c>
    </row>
    <row r="31" spans="1:32" x14ac:dyDescent="0.25">
      <c r="A31" s="21">
        <v>28</v>
      </c>
      <c r="B31" s="95" t="s">
        <v>2829</v>
      </c>
      <c r="C31" s="219">
        <v>0</v>
      </c>
      <c r="D31" s="219">
        <v>0</v>
      </c>
      <c r="E31" s="219">
        <v>0</v>
      </c>
      <c r="F31" s="219">
        <v>0</v>
      </c>
      <c r="G31" s="219">
        <v>0</v>
      </c>
      <c r="H31" s="219">
        <v>0</v>
      </c>
      <c r="I31" s="219">
        <v>0</v>
      </c>
      <c r="J31" s="219">
        <v>6.4155817045210997E-4</v>
      </c>
      <c r="K31" s="219">
        <v>0</v>
      </c>
      <c r="L31" s="219">
        <v>0</v>
      </c>
      <c r="M31" s="219">
        <v>1.1595048511839801E-9</v>
      </c>
      <c r="N31" s="219">
        <v>5.9914815978368299E-2</v>
      </c>
      <c r="O31" s="219">
        <v>1.07150632119852E-5</v>
      </c>
      <c r="P31" s="219">
        <v>2.13701868686053E-7</v>
      </c>
      <c r="Q31" s="219">
        <v>2.2043161010537001E-3</v>
      </c>
      <c r="R31" s="219">
        <v>4.8054200284320098E-5</v>
      </c>
      <c r="S31" s="219">
        <v>3.5066432444890903E-4</v>
      </c>
      <c r="T31" s="219">
        <v>9.6804180424481294E-5</v>
      </c>
      <c r="U31" s="219">
        <v>5.4535020465780901E-8</v>
      </c>
      <c r="V31" s="219">
        <v>3.4909481725604402E-4</v>
      </c>
      <c r="W31" s="219">
        <v>1.01168701076603E-4</v>
      </c>
      <c r="X31" s="219">
        <v>0</v>
      </c>
      <c r="Y31" s="219">
        <v>2.2351310744569499E-7</v>
      </c>
      <c r="Z31" s="219">
        <v>2.0455066576266301E-3</v>
      </c>
      <c r="AA31" s="219">
        <v>8.4098768662156498E-6</v>
      </c>
      <c r="AB31" s="219">
        <v>0</v>
      </c>
      <c r="AC31" s="219">
        <v>0</v>
      </c>
      <c r="AD31" s="219">
        <v>0</v>
      </c>
      <c r="AE31" s="219">
        <v>0</v>
      </c>
      <c r="AF31" s="219">
        <v>0</v>
      </c>
    </row>
    <row r="32" spans="1:32" x14ac:dyDescent="0.25">
      <c r="A32" s="21">
        <v>29</v>
      </c>
      <c r="B32" s="301" t="s">
        <v>679</v>
      </c>
      <c r="C32" s="219">
        <v>0</v>
      </c>
      <c r="D32" s="219">
        <v>0</v>
      </c>
      <c r="E32" s="219">
        <v>0</v>
      </c>
      <c r="F32" s="219">
        <v>0</v>
      </c>
      <c r="G32" s="219">
        <v>1.94444013439618E-2</v>
      </c>
      <c r="H32" s="219">
        <v>0.39247621314923198</v>
      </c>
      <c r="I32" s="219">
        <v>0</v>
      </c>
      <c r="J32" s="219">
        <v>0</v>
      </c>
      <c r="K32" s="219">
        <v>0</v>
      </c>
      <c r="L32" s="219">
        <v>0.107065082810194</v>
      </c>
      <c r="M32" s="219">
        <v>0</v>
      </c>
      <c r="N32" s="219">
        <v>0</v>
      </c>
      <c r="O32" s="219">
        <v>0</v>
      </c>
      <c r="P32" s="219">
        <v>0</v>
      </c>
      <c r="Q32" s="219">
        <v>0</v>
      </c>
      <c r="R32" s="219">
        <v>0</v>
      </c>
      <c r="S32" s="219">
        <v>0</v>
      </c>
      <c r="T32" s="219">
        <v>0</v>
      </c>
      <c r="U32" s="219">
        <v>0</v>
      </c>
      <c r="V32" s="219">
        <v>0</v>
      </c>
      <c r="W32" s="219">
        <v>0</v>
      </c>
      <c r="X32" s="219">
        <v>0</v>
      </c>
      <c r="Y32" s="219">
        <v>0</v>
      </c>
      <c r="Z32" s="219">
        <v>0</v>
      </c>
      <c r="AA32" s="219">
        <v>0.14000000000000001</v>
      </c>
      <c r="AB32" s="219">
        <v>0.14000000000000001</v>
      </c>
      <c r="AC32" s="219">
        <v>0.01</v>
      </c>
      <c r="AD32" s="219">
        <v>0</v>
      </c>
      <c r="AE32" s="219">
        <v>0</v>
      </c>
      <c r="AF32" s="219">
        <v>0</v>
      </c>
    </row>
    <row r="33" spans="1:32" s="8" customFormat="1" ht="15.75" thickBot="1" x14ac:dyDescent="0.3">
      <c r="A33" s="24">
        <v>30</v>
      </c>
      <c r="B33" s="22" t="s">
        <v>681</v>
      </c>
      <c r="C33" s="222">
        <v>0</v>
      </c>
      <c r="D33" s="222">
        <v>0</v>
      </c>
      <c r="E33" s="222">
        <v>0</v>
      </c>
      <c r="F33" s="222">
        <v>2.60013067802406E-3</v>
      </c>
      <c r="G33" s="222">
        <v>5.8333204031885397E-2</v>
      </c>
      <c r="H33" s="222">
        <v>0</v>
      </c>
      <c r="I33" s="222">
        <v>8.2793813026313598E-2</v>
      </c>
      <c r="J33" s="222">
        <v>0.15319781103993699</v>
      </c>
      <c r="K33" s="222">
        <v>5.0364829104323099E-2</v>
      </c>
      <c r="L33" s="222">
        <v>0.24568613688167201</v>
      </c>
      <c r="M33" s="222">
        <v>0.33772305989414297</v>
      </c>
      <c r="N33" s="222">
        <v>0.174129973259289</v>
      </c>
      <c r="O33" s="222">
        <v>0.22435599563981101</v>
      </c>
      <c r="P33" s="222">
        <v>0.214636134517976</v>
      </c>
      <c r="Q33" s="222">
        <v>0.19819167019259201</v>
      </c>
      <c r="R33" s="222">
        <v>0.27112812252447599</v>
      </c>
      <c r="S33" s="222">
        <v>0.29324514970453602</v>
      </c>
      <c r="T33" s="222">
        <v>0.22889864165884799</v>
      </c>
      <c r="U33" s="222">
        <v>0.20555770740269999</v>
      </c>
      <c r="V33" s="222">
        <v>5.1208485978045899E-2</v>
      </c>
      <c r="W33" s="222">
        <v>9.6710541999496802E-2</v>
      </c>
      <c r="X33" s="222">
        <v>0</v>
      </c>
      <c r="Y33" s="222">
        <v>0.13384438414837599</v>
      </c>
      <c r="Z33" s="222">
        <v>0.17696814473966099</v>
      </c>
      <c r="AA33" s="222">
        <v>2.74288493595201E-3</v>
      </c>
      <c r="AB33" s="222">
        <v>3.5138704999999998E-3</v>
      </c>
      <c r="AC33" s="222">
        <v>0.09</v>
      </c>
      <c r="AD33" s="222">
        <v>0.21526807730262501</v>
      </c>
      <c r="AE33" s="222">
        <v>1.07094410641581E-4</v>
      </c>
      <c r="AF33" s="222">
        <v>0</v>
      </c>
    </row>
  </sheetData>
  <conditionalFormatting sqref="C4:AF33">
    <cfRule type="cellIs" dxfId="5" priority="1" operator="lessThan">
      <formula>0</formula>
    </cfRule>
    <cfRule type="cellIs" dxfId="4" priority="2" operator="lessThan">
      <formula>0</formula>
    </cfRule>
    <cfRule type="cellIs" dxfId="3" priority="4" operator="equal">
      <formula>0</formula>
    </cfRule>
  </conditionalFormatting>
  <conditionalFormatting sqref="B7:B32">
    <cfRule type="cellIs" dxfId="2" priority="3" operator="equal">
      <formula>0</formula>
    </cfRule>
  </conditionalFormatting>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3"/>
  <sheetViews>
    <sheetView workbookViewId="0">
      <pane ySplit="3" topLeftCell="A4" activePane="bottomLeft" state="frozen"/>
      <selection pane="bottomLeft" activeCell="A2" sqref="A2"/>
    </sheetView>
  </sheetViews>
  <sheetFormatPr defaultColWidth="32.42578125" defaultRowHeight="15" x14ac:dyDescent="0.25"/>
  <cols>
    <col min="1" max="1" width="25.5703125" bestFit="1" customWidth="1"/>
    <col min="2" max="2" width="30.42578125" customWidth="1"/>
    <col min="3" max="3" width="29.85546875" customWidth="1"/>
    <col min="4" max="4" width="15.140625" style="1" customWidth="1"/>
  </cols>
  <sheetData>
    <row r="1" spans="1:4" ht="78.75" customHeight="1" x14ac:dyDescent="0.25">
      <c r="A1" s="448" t="s">
        <v>3075</v>
      </c>
      <c r="B1" s="448"/>
      <c r="C1" s="448"/>
      <c r="D1" s="448"/>
    </row>
    <row r="2" spans="1:4" ht="15.75" thickBot="1" x14ac:dyDescent="0.3">
      <c r="A2" s="22"/>
      <c r="B2" s="22"/>
      <c r="C2" s="22"/>
      <c r="D2" s="24"/>
    </row>
    <row r="3" spans="1:4" ht="15.75" thickBot="1" x14ac:dyDescent="0.3">
      <c r="A3" s="132" t="s">
        <v>103</v>
      </c>
      <c r="B3" s="132" t="s">
        <v>105</v>
      </c>
      <c r="C3" s="132" t="s">
        <v>104</v>
      </c>
      <c r="D3" s="133" t="s">
        <v>0</v>
      </c>
    </row>
    <row r="4" spans="1:4" x14ac:dyDescent="0.25">
      <c r="A4" s="13" t="s">
        <v>73</v>
      </c>
      <c r="B4" s="14" t="s">
        <v>74</v>
      </c>
      <c r="C4" s="15" t="s">
        <v>106</v>
      </c>
      <c r="D4" s="16">
        <v>2.7676375456222418E-5</v>
      </c>
    </row>
    <row r="5" spans="1:4" x14ac:dyDescent="0.25">
      <c r="A5" s="13"/>
      <c r="B5" s="13" t="s">
        <v>75</v>
      </c>
      <c r="C5" s="13" t="s">
        <v>76</v>
      </c>
      <c r="D5" s="16">
        <v>1.6234552106950782E-5</v>
      </c>
    </row>
    <row r="6" spans="1:4" x14ac:dyDescent="0.25">
      <c r="A6" s="13"/>
      <c r="B6" s="13" t="s">
        <v>77</v>
      </c>
      <c r="C6" s="13" t="s">
        <v>78</v>
      </c>
      <c r="D6" s="16">
        <v>1.7721712859072483E-5</v>
      </c>
    </row>
    <row r="7" spans="1:4" x14ac:dyDescent="0.25">
      <c r="A7" s="13"/>
      <c r="B7" s="14" t="s">
        <v>79</v>
      </c>
      <c r="C7" s="13" t="s">
        <v>76</v>
      </c>
      <c r="D7" s="16">
        <v>1.6234552106950782E-5</v>
      </c>
    </row>
    <row r="8" spans="1:4" x14ac:dyDescent="0.25">
      <c r="A8" s="13"/>
      <c r="B8" s="14" t="s">
        <v>80</v>
      </c>
      <c r="C8" s="15" t="s">
        <v>107</v>
      </c>
      <c r="D8" s="16">
        <v>4.7927287576791399E-6</v>
      </c>
    </row>
    <row r="9" spans="1:4" x14ac:dyDescent="0.25">
      <c r="A9" s="13"/>
      <c r="B9" s="14" t="s">
        <v>81</v>
      </c>
      <c r="C9" s="15" t="s">
        <v>108</v>
      </c>
      <c r="D9" s="16">
        <v>1.5103196383237504E-5</v>
      </c>
    </row>
    <row r="10" spans="1:4" x14ac:dyDescent="0.25">
      <c r="A10" s="13"/>
      <c r="B10" s="14" t="s">
        <v>25</v>
      </c>
      <c r="C10" s="15" t="s">
        <v>109</v>
      </c>
      <c r="D10" s="16">
        <v>1.9162499999999998E-5</v>
      </c>
    </row>
    <row r="11" spans="1:4" x14ac:dyDescent="0.25">
      <c r="A11" s="13"/>
      <c r="B11" s="14" t="s">
        <v>82</v>
      </c>
      <c r="C11" s="13" t="s">
        <v>83</v>
      </c>
      <c r="D11" s="16">
        <v>7.5100792897279703E-5</v>
      </c>
    </row>
    <row r="12" spans="1:4" x14ac:dyDescent="0.25">
      <c r="A12" s="13"/>
      <c r="B12" s="13"/>
      <c r="C12" s="13"/>
      <c r="D12" s="16"/>
    </row>
    <row r="13" spans="1:4" x14ac:dyDescent="0.25">
      <c r="A13" s="13" t="s">
        <v>17</v>
      </c>
      <c r="B13" s="14" t="s">
        <v>18</v>
      </c>
      <c r="C13" s="15" t="s">
        <v>110</v>
      </c>
      <c r="D13" s="16">
        <v>5.6782751121546958E-5</v>
      </c>
    </row>
    <row r="14" spans="1:4" x14ac:dyDescent="0.25">
      <c r="A14" s="13"/>
      <c r="B14" s="13" t="s">
        <v>19</v>
      </c>
      <c r="C14" s="13" t="s">
        <v>20</v>
      </c>
      <c r="D14" s="16">
        <v>3.6319877877568599E-4</v>
      </c>
    </row>
    <row r="15" spans="1:4" x14ac:dyDescent="0.25">
      <c r="A15" s="13"/>
      <c r="B15" s="14" t="s">
        <v>21</v>
      </c>
      <c r="C15" s="14" t="s">
        <v>21</v>
      </c>
      <c r="D15" s="16">
        <v>1.6986473212325128E-4</v>
      </c>
    </row>
    <row r="16" spans="1:4" x14ac:dyDescent="0.25">
      <c r="A16" s="13"/>
      <c r="B16" s="14" t="s">
        <v>22</v>
      </c>
      <c r="C16" s="13" t="s">
        <v>20</v>
      </c>
      <c r="D16" s="16">
        <v>3.6319877877568599E-4</v>
      </c>
    </row>
    <row r="17" spans="1:4" x14ac:dyDescent="0.25">
      <c r="A17" s="13"/>
      <c r="B17" s="14" t="s">
        <v>23</v>
      </c>
      <c r="C17" s="13" t="s">
        <v>20</v>
      </c>
      <c r="D17" s="16">
        <v>3.6319877877568599E-4</v>
      </c>
    </row>
    <row r="18" spans="1:4" x14ac:dyDescent="0.25">
      <c r="A18" s="13"/>
      <c r="B18" s="14" t="s">
        <v>24</v>
      </c>
      <c r="C18" s="15" t="s">
        <v>111</v>
      </c>
      <c r="D18" s="16">
        <v>1.3651267288918822E-5</v>
      </c>
    </row>
    <row r="19" spans="1:4" x14ac:dyDescent="0.25">
      <c r="A19" s="13"/>
      <c r="B19" s="14" t="s">
        <v>26</v>
      </c>
      <c r="C19" s="15" t="s">
        <v>112</v>
      </c>
      <c r="D19" s="16">
        <v>1.1106509860000168E-4</v>
      </c>
    </row>
    <row r="20" spans="1:4" x14ac:dyDescent="0.25">
      <c r="A20" s="13"/>
      <c r="B20" s="13"/>
      <c r="C20" s="13"/>
      <c r="D20" s="16"/>
    </row>
    <row r="21" spans="1:4" x14ac:dyDescent="0.25">
      <c r="A21" s="13" t="s">
        <v>1</v>
      </c>
      <c r="B21" s="13" t="s">
        <v>2</v>
      </c>
      <c r="C21" s="13" t="s">
        <v>3</v>
      </c>
      <c r="D21" s="16">
        <v>1.1237085727834783E-2</v>
      </c>
    </row>
    <row r="22" spans="1:4" x14ac:dyDescent="0.25">
      <c r="A22" s="13"/>
      <c r="B22" s="13" t="s">
        <v>4</v>
      </c>
      <c r="C22" s="13"/>
      <c r="D22" s="16">
        <v>1.1237085727834783E-2</v>
      </c>
    </row>
    <row r="23" spans="1:4" x14ac:dyDescent="0.25">
      <c r="A23" s="13"/>
      <c r="B23" s="13"/>
      <c r="C23" s="13"/>
      <c r="D23" s="16"/>
    </row>
    <row r="24" spans="1:4" x14ac:dyDescent="0.25">
      <c r="A24" s="13" t="s">
        <v>5</v>
      </c>
      <c r="B24" s="13" t="s">
        <v>6</v>
      </c>
      <c r="C24" s="13" t="s">
        <v>5</v>
      </c>
      <c r="D24" s="16">
        <v>1.2827500000000001E-4</v>
      </c>
    </row>
    <row r="25" spans="1:4" x14ac:dyDescent="0.25">
      <c r="A25" s="13"/>
      <c r="B25" s="13"/>
      <c r="C25" s="13"/>
      <c r="D25" s="16"/>
    </row>
    <row r="26" spans="1:4" x14ac:dyDescent="0.25">
      <c r="A26" s="13" t="s">
        <v>7</v>
      </c>
      <c r="B26" s="13" t="s">
        <v>8</v>
      </c>
      <c r="C26" s="13" t="s">
        <v>9</v>
      </c>
      <c r="D26" s="16">
        <v>1.9917545471081605E-3</v>
      </c>
    </row>
    <row r="27" spans="1:4" x14ac:dyDescent="0.25">
      <c r="A27" s="13"/>
      <c r="B27" s="13"/>
      <c r="C27" s="13"/>
      <c r="D27" s="16"/>
    </row>
    <row r="28" spans="1:4" x14ac:dyDescent="0.25">
      <c r="A28" s="13" t="s">
        <v>27</v>
      </c>
      <c r="B28" s="13" t="s">
        <v>28</v>
      </c>
      <c r="C28" s="13" t="s">
        <v>29</v>
      </c>
      <c r="D28" s="16">
        <v>9.2699999999999987E-3</v>
      </c>
    </row>
    <row r="29" spans="1:4" x14ac:dyDescent="0.25">
      <c r="A29" s="13"/>
      <c r="B29" s="13" t="s">
        <v>30</v>
      </c>
      <c r="C29" s="13" t="s">
        <v>31</v>
      </c>
      <c r="D29" s="16">
        <v>2.8666666666666668E-5</v>
      </c>
    </row>
    <row r="30" spans="1:4" x14ac:dyDescent="0.25">
      <c r="A30" s="13"/>
      <c r="B30" s="13" t="s">
        <v>32</v>
      </c>
      <c r="C30" s="13" t="s">
        <v>33</v>
      </c>
      <c r="D30" s="16">
        <v>1.885E-7</v>
      </c>
    </row>
    <row r="31" spans="1:4" x14ac:dyDescent="0.25">
      <c r="A31" s="13"/>
      <c r="B31" s="13" t="s">
        <v>34</v>
      </c>
      <c r="C31" s="13" t="s">
        <v>35</v>
      </c>
      <c r="D31" s="16">
        <v>1.1949999999999999E-5</v>
      </c>
    </row>
    <row r="32" spans="1:4" x14ac:dyDescent="0.25">
      <c r="A32" s="13"/>
      <c r="B32" s="13" t="s">
        <v>36</v>
      </c>
      <c r="C32" s="13" t="s">
        <v>37</v>
      </c>
      <c r="D32" s="16">
        <v>0.39306915109320062</v>
      </c>
    </row>
    <row r="33" spans="1:4" x14ac:dyDescent="0.25">
      <c r="A33" s="13"/>
      <c r="B33" s="13" t="s">
        <v>38</v>
      </c>
      <c r="C33" s="13" t="s">
        <v>39</v>
      </c>
      <c r="D33" s="16">
        <v>1.5924164567314473E-5</v>
      </c>
    </row>
    <row r="34" spans="1:4" x14ac:dyDescent="0.25">
      <c r="A34" s="13"/>
      <c r="B34" s="13" t="s">
        <v>40</v>
      </c>
      <c r="C34" s="13" t="s">
        <v>39</v>
      </c>
      <c r="D34" s="16">
        <v>1.5924164567314473E-5</v>
      </c>
    </row>
    <row r="35" spans="1:4" x14ac:dyDescent="0.25">
      <c r="A35" s="13"/>
      <c r="B35" s="13" t="s">
        <v>41</v>
      </c>
      <c r="C35" s="13" t="s">
        <v>42</v>
      </c>
      <c r="D35" s="16">
        <v>1.5346433794392717E-3</v>
      </c>
    </row>
    <row r="36" spans="1:4" x14ac:dyDescent="0.25">
      <c r="A36" s="13"/>
      <c r="B36" s="13" t="s">
        <v>43</v>
      </c>
      <c r="C36" s="13" t="s">
        <v>42</v>
      </c>
      <c r="D36" s="16">
        <v>1.5346433794392717E-3</v>
      </c>
    </row>
    <row r="37" spans="1:4" x14ac:dyDescent="0.25">
      <c r="A37" s="13"/>
      <c r="B37" s="13" t="s">
        <v>44</v>
      </c>
      <c r="C37" s="13" t="s">
        <v>45</v>
      </c>
      <c r="D37" s="16">
        <v>6.4199999999999999E-4</v>
      </c>
    </row>
    <row r="38" spans="1:4" x14ac:dyDescent="0.25">
      <c r="A38" s="13"/>
      <c r="B38" s="13" t="s">
        <v>46</v>
      </c>
      <c r="C38" s="13" t="s">
        <v>47</v>
      </c>
      <c r="D38" s="16">
        <v>1.9747555941314961E-3</v>
      </c>
    </row>
    <row r="39" spans="1:4" x14ac:dyDescent="0.25">
      <c r="A39" s="13"/>
      <c r="B39" s="13" t="s">
        <v>48</v>
      </c>
      <c r="C39" s="13" t="s">
        <v>45</v>
      </c>
      <c r="D39" s="16">
        <v>6.4199999999999999E-4</v>
      </c>
    </row>
    <row r="40" spans="1:4" ht="30" x14ac:dyDescent="0.25">
      <c r="A40" s="13"/>
      <c r="B40" s="13" t="s">
        <v>49</v>
      </c>
      <c r="C40" s="13" t="s">
        <v>45</v>
      </c>
      <c r="D40" s="16">
        <v>6.4199999999999999E-4</v>
      </c>
    </row>
    <row r="41" spans="1:4" x14ac:dyDescent="0.25">
      <c r="A41" s="13"/>
      <c r="B41" s="13" t="s">
        <v>50</v>
      </c>
      <c r="C41" s="13" t="s">
        <v>51</v>
      </c>
      <c r="D41" s="16">
        <v>1.6537500000000002E-5</v>
      </c>
    </row>
    <row r="42" spans="1:4" x14ac:dyDescent="0.25">
      <c r="A42" s="13"/>
      <c r="B42" s="13" t="s">
        <v>52</v>
      </c>
      <c r="C42" s="13" t="s">
        <v>53</v>
      </c>
      <c r="D42" s="16">
        <v>0.39306915109320062</v>
      </c>
    </row>
    <row r="43" spans="1:4" x14ac:dyDescent="0.25">
      <c r="A43" s="13"/>
      <c r="B43" s="13" t="s">
        <v>54</v>
      </c>
      <c r="C43" s="13" t="s">
        <v>53</v>
      </c>
      <c r="D43" s="16">
        <v>0.39306946062067316</v>
      </c>
    </row>
    <row r="44" spans="1:4" x14ac:dyDescent="0.25">
      <c r="A44" s="13"/>
      <c r="B44" s="13" t="s">
        <v>55</v>
      </c>
      <c r="C44" s="13" t="s">
        <v>31</v>
      </c>
      <c r="D44" s="16">
        <v>2.8666666666666668E-5</v>
      </c>
    </row>
    <row r="45" spans="1:4" x14ac:dyDescent="0.25">
      <c r="A45" s="13"/>
      <c r="B45" s="13" t="s">
        <v>56</v>
      </c>
      <c r="C45" s="13" t="s">
        <v>45</v>
      </c>
      <c r="D45" s="16">
        <v>6.4199999999999999E-4</v>
      </c>
    </row>
    <row r="46" spans="1:4" x14ac:dyDescent="0.25">
      <c r="A46" s="13"/>
      <c r="B46" s="13" t="s">
        <v>57</v>
      </c>
      <c r="C46" s="13" t="s">
        <v>58</v>
      </c>
      <c r="D46" s="16">
        <v>6.0299999999999998E-3</v>
      </c>
    </row>
    <row r="47" spans="1:4" x14ac:dyDescent="0.25">
      <c r="A47" s="13"/>
      <c r="B47" s="13" t="s">
        <v>59</v>
      </c>
      <c r="C47" s="13" t="s">
        <v>35</v>
      </c>
      <c r="D47" s="16">
        <v>1.1949999999999999E-5</v>
      </c>
    </row>
    <row r="48" spans="1:4" x14ac:dyDescent="0.25">
      <c r="A48" s="13"/>
      <c r="B48" s="13" t="s">
        <v>60</v>
      </c>
      <c r="C48" s="13" t="s">
        <v>61</v>
      </c>
      <c r="D48" s="16">
        <v>4.6817670614723016E-5</v>
      </c>
    </row>
    <row r="49" spans="1:4" x14ac:dyDescent="0.25">
      <c r="A49" s="13"/>
      <c r="B49" s="13" t="s">
        <v>45</v>
      </c>
      <c r="C49" s="13" t="s">
        <v>45</v>
      </c>
      <c r="D49" s="16">
        <v>6.4199999999999999E-4</v>
      </c>
    </row>
    <row r="50" spans="1:4" ht="30" x14ac:dyDescent="0.25">
      <c r="A50" s="13"/>
      <c r="B50" s="13" t="s">
        <v>62</v>
      </c>
      <c r="C50" s="13" t="s">
        <v>63</v>
      </c>
      <c r="D50" s="16">
        <v>5.2475000000000001E-2</v>
      </c>
    </row>
    <row r="51" spans="1:4" x14ac:dyDescent="0.25">
      <c r="A51" s="13"/>
      <c r="B51" s="13" t="s">
        <v>64</v>
      </c>
      <c r="C51" s="13" t="s">
        <v>65</v>
      </c>
      <c r="D51" s="16">
        <v>1.1363636363636364E-4</v>
      </c>
    </row>
    <row r="52" spans="1:4" x14ac:dyDescent="0.25">
      <c r="A52" s="13"/>
      <c r="B52" s="13" t="s">
        <v>66</v>
      </c>
      <c r="C52" s="13" t="s">
        <v>65</v>
      </c>
      <c r="D52" s="16">
        <v>1.1363636363636364E-4</v>
      </c>
    </row>
    <row r="53" spans="1:4" ht="30" x14ac:dyDescent="0.25">
      <c r="A53" s="13"/>
      <c r="B53" s="13" t="s">
        <v>67</v>
      </c>
      <c r="C53" s="13" t="s">
        <v>68</v>
      </c>
      <c r="D53" s="16">
        <v>3.2786137140070656E-5</v>
      </c>
    </row>
    <row r="54" spans="1:4" x14ac:dyDescent="0.25">
      <c r="A54" s="13"/>
      <c r="B54" s="13" t="s">
        <v>69</v>
      </c>
      <c r="C54" s="13" t="s">
        <v>68</v>
      </c>
      <c r="D54" s="16">
        <v>3.2786137140070656E-5</v>
      </c>
    </row>
    <row r="55" spans="1:4" x14ac:dyDescent="0.25">
      <c r="A55" s="13"/>
      <c r="B55" s="13" t="s">
        <v>70</v>
      </c>
      <c r="C55" s="13" t="s">
        <v>71</v>
      </c>
      <c r="D55" s="16">
        <v>2.9918467179652172E-2</v>
      </c>
    </row>
    <row r="56" spans="1:4" x14ac:dyDescent="0.25">
      <c r="A56" s="13"/>
      <c r="B56" s="13" t="s">
        <v>72</v>
      </c>
      <c r="C56" s="13" t="s">
        <v>45</v>
      </c>
      <c r="D56" s="16">
        <v>6.4199999999999999E-4</v>
      </c>
    </row>
    <row r="57" spans="1:4" x14ac:dyDescent="0.25">
      <c r="A57" s="13"/>
      <c r="B57" s="13"/>
      <c r="C57" s="13"/>
      <c r="D57" s="16"/>
    </row>
    <row r="58" spans="1:4" x14ac:dyDescent="0.25">
      <c r="A58" s="13" t="s">
        <v>10</v>
      </c>
      <c r="B58" s="13" t="s">
        <v>11</v>
      </c>
      <c r="C58" s="13" t="s">
        <v>12</v>
      </c>
      <c r="D58" s="16">
        <v>5.659135880870159E-3</v>
      </c>
    </row>
    <row r="59" spans="1:4" x14ac:dyDescent="0.25">
      <c r="A59" s="13"/>
      <c r="B59" s="13" t="s">
        <v>13</v>
      </c>
      <c r="C59" s="13" t="s">
        <v>14</v>
      </c>
      <c r="D59" s="16">
        <v>8.8588400433594391E-5</v>
      </c>
    </row>
    <row r="60" spans="1:4" x14ac:dyDescent="0.25">
      <c r="A60" s="13"/>
      <c r="B60" s="13" t="s">
        <v>15</v>
      </c>
      <c r="C60" s="13" t="s">
        <v>16</v>
      </c>
      <c r="D60" s="16">
        <v>0.43129958316958811</v>
      </c>
    </row>
    <row r="61" spans="1:4" x14ac:dyDescent="0.25">
      <c r="A61" s="13"/>
      <c r="B61" s="13"/>
      <c r="C61" s="13"/>
      <c r="D61" s="16"/>
    </row>
    <row r="62" spans="1:4" x14ac:dyDescent="0.25">
      <c r="A62" s="13" t="s">
        <v>84</v>
      </c>
      <c r="B62" s="13" t="s">
        <v>85</v>
      </c>
      <c r="C62" s="13" t="s">
        <v>86</v>
      </c>
      <c r="D62" s="16">
        <v>1.9482734737704722E-2</v>
      </c>
    </row>
    <row r="63" spans="1:4" x14ac:dyDescent="0.25">
      <c r="A63" s="13"/>
      <c r="B63" s="13" t="s">
        <v>87</v>
      </c>
      <c r="C63" s="13" t="s">
        <v>88</v>
      </c>
      <c r="D63" s="16">
        <v>0.56408134499024021</v>
      </c>
    </row>
    <row r="64" spans="1:4" x14ac:dyDescent="0.25">
      <c r="A64" s="13"/>
      <c r="B64" s="13" t="s">
        <v>89</v>
      </c>
      <c r="C64" s="13" t="s">
        <v>90</v>
      </c>
      <c r="D64" s="16">
        <v>2.5594455606184528E-2</v>
      </c>
    </row>
    <row r="65" spans="1:4" x14ac:dyDescent="0.25">
      <c r="A65" s="13"/>
      <c r="B65" s="13" t="s">
        <v>91</v>
      </c>
      <c r="C65" s="13" t="s">
        <v>92</v>
      </c>
      <c r="D65" s="16">
        <v>1.0754076214455378E-5</v>
      </c>
    </row>
    <row r="66" spans="1:4" x14ac:dyDescent="0.25">
      <c r="A66" s="13"/>
      <c r="B66" s="13" t="s">
        <v>93</v>
      </c>
      <c r="C66" s="13" t="s">
        <v>92</v>
      </c>
      <c r="D66" s="16">
        <v>1.0754076214455378E-5</v>
      </c>
    </row>
    <row r="67" spans="1:4" x14ac:dyDescent="0.25">
      <c r="A67" s="13"/>
      <c r="B67" s="13" t="s">
        <v>94</v>
      </c>
      <c r="C67" s="13" t="s">
        <v>92</v>
      </c>
      <c r="D67" s="16">
        <v>1.0754076214455378E-5</v>
      </c>
    </row>
    <row r="68" spans="1:4" x14ac:dyDescent="0.25">
      <c r="A68" s="13"/>
      <c r="B68" s="13" t="s">
        <v>95</v>
      </c>
      <c r="C68" s="13" t="s">
        <v>92</v>
      </c>
      <c r="D68" s="16">
        <v>1.0754076214455378E-5</v>
      </c>
    </row>
    <row r="69" spans="1:4" x14ac:dyDescent="0.25">
      <c r="A69" s="13"/>
      <c r="B69" s="13" t="s">
        <v>96</v>
      </c>
      <c r="C69" s="13" t="s">
        <v>97</v>
      </c>
      <c r="D69" s="16">
        <v>1.7536945855177115E-2</v>
      </c>
    </row>
    <row r="70" spans="1:4" x14ac:dyDescent="0.25">
      <c r="A70" s="13"/>
      <c r="B70" s="13" t="s">
        <v>98</v>
      </c>
      <c r="C70" s="13" t="s">
        <v>97</v>
      </c>
      <c r="D70" s="16">
        <v>1.7536945855177115E-2</v>
      </c>
    </row>
    <row r="71" spans="1:4" x14ac:dyDescent="0.25">
      <c r="A71" s="13"/>
      <c r="B71" s="13" t="s">
        <v>99</v>
      </c>
      <c r="C71" s="13" t="s">
        <v>97</v>
      </c>
      <c r="D71" s="16">
        <v>1.7536945855177115E-2</v>
      </c>
    </row>
    <row r="72" spans="1:4" x14ac:dyDescent="0.25">
      <c r="A72" s="13"/>
      <c r="B72" s="13"/>
      <c r="C72" s="13"/>
      <c r="D72" s="16"/>
    </row>
    <row r="73" spans="1:4" ht="15.75" thickBot="1" x14ac:dyDescent="0.3">
      <c r="A73" s="134" t="s">
        <v>100</v>
      </c>
      <c r="B73" s="134" t="s">
        <v>101</v>
      </c>
      <c r="C73" s="134" t="s">
        <v>102</v>
      </c>
      <c r="D73" s="135">
        <v>24.5</v>
      </c>
    </row>
  </sheetData>
  <mergeCells count="1">
    <mergeCell ref="A1:D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2"/>
  <sheetViews>
    <sheetView topLeftCell="K1" zoomScale="110" zoomScaleNormal="110" workbookViewId="0">
      <pane ySplit="3" topLeftCell="A17" activePane="bottomLeft" state="frozen"/>
      <selection pane="bottomLeft" activeCell="O25" sqref="O25"/>
    </sheetView>
  </sheetViews>
  <sheetFormatPr defaultRowHeight="15" x14ac:dyDescent="0.25"/>
  <cols>
    <col min="1" max="1" width="38.7109375" bestFit="1" customWidth="1"/>
    <col min="2" max="2" width="16.28515625" customWidth="1"/>
    <col min="3" max="3" width="15.5703125" customWidth="1"/>
    <col min="4" max="4" width="29.42578125" customWidth="1"/>
    <col min="5" max="5" width="22.5703125" style="2" customWidth="1"/>
    <col min="6" max="6" width="29.28515625" customWidth="1"/>
    <col min="7" max="7" width="29.28515625" style="2" customWidth="1"/>
    <col min="8" max="8" width="23.85546875" style="2" customWidth="1"/>
    <col min="9" max="9" width="30.85546875" style="2" customWidth="1"/>
    <col min="10" max="10" width="34.7109375" style="2" bestFit="1" customWidth="1"/>
    <col min="11" max="11" width="9.7109375" style="2" customWidth="1"/>
    <col min="12" max="13" width="11.42578125" style="2" customWidth="1"/>
    <col min="14" max="14" width="26" style="2" customWidth="1"/>
    <col min="15" max="15" width="28.28515625" style="2" bestFit="1" customWidth="1"/>
  </cols>
  <sheetData>
    <row r="1" spans="1:15" ht="52.5" customHeight="1" x14ac:dyDescent="0.25">
      <c r="A1" s="444" t="s">
        <v>3076</v>
      </c>
      <c r="B1" s="444"/>
      <c r="C1" s="444"/>
      <c r="D1" s="444"/>
      <c r="E1" s="444"/>
      <c r="F1" s="444"/>
      <c r="G1" s="444"/>
      <c r="H1" s="444"/>
      <c r="I1" s="444"/>
      <c r="J1" s="444"/>
      <c r="K1" s="444"/>
      <c r="L1" s="444"/>
      <c r="M1" s="444"/>
      <c r="N1" s="444"/>
      <c r="O1" s="444"/>
    </row>
    <row r="2" spans="1:15" ht="15.75" thickBot="1" x14ac:dyDescent="0.3">
      <c r="A2" s="22"/>
      <c r="B2" s="22"/>
      <c r="C2" s="22"/>
      <c r="D2" s="22"/>
      <c r="E2" s="23"/>
      <c r="F2" s="22"/>
      <c r="G2" s="23"/>
      <c r="H2" s="23"/>
      <c r="I2" s="23"/>
      <c r="J2" s="23"/>
      <c r="K2" s="23"/>
      <c r="L2" s="23"/>
      <c r="M2" s="23"/>
      <c r="N2" s="23"/>
      <c r="O2" s="23"/>
    </row>
    <row r="3" spans="1:15" s="9" customFormat="1" ht="46.5" customHeight="1" thickBot="1" x14ac:dyDescent="0.3">
      <c r="A3" s="122" t="s">
        <v>105</v>
      </c>
      <c r="B3" s="123" t="s">
        <v>359</v>
      </c>
      <c r="C3" s="123" t="s">
        <v>2860</v>
      </c>
      <c r="D3" s="123" t="s">
        <v>383</v>
      </c>
      <c r="E3" s="123" t="s">
        <v>2861</v>
      </c>
      <c r="F3" s="123" t="s">
        <v>2862</v>
      </c>
      <c r="G3" s="123" t="s">
        <v>146</v>
      </c>
      <c r="H3" s="123" t="s">
        <v>360</v>
      </c>
      <c r="I3" s="123" t="s">
        <v>306</v>
      </c>
      <c r="J3" s="123" t="s">
        <v>361</v>
      </c>
      <c r="K3" s="123" t="s">
        <v>154</v>
      </c>
      <c r="L3" s="123" t="s">
        <v>270</v>
      </c>
      <c r="M3" s="123" t="s">
        <v>271</v>
      </c>
      <c r="N3" s="123" t="s">
        <v>2839</v>
      </c>
      <c r="O3" s="123" t="s">
        <v>284</v>
      </c>
    </row>
    <row r="4" spans="1:15" ht="17.25" x14ac:dyDescent="0.25">
      <c r="A4" s="121" t="s">
        <v>29</v>
      </c>
      <c r="B4" s="142">
        <v>9.2699999999999987E-3</v>
      </c>
      <c r="C4" s="240" t="s">
        <v>147</v>
      </c>
      <c r="D4" s="241" t="s">
        <v>172</v>
      </c>
      <c r="E4" s="142" t="s">
        <v>311</v>
      </c>
      <c r="F4" s="142" t="s">
        <v>3122</v>
      </c>
      <c r="G4" s="285" t="s">
        <v>147</v>
      </c>
      <c r="H4" s="242" t="s">
        <v>147</v>
      </c>
      <c r="I4" s="242" t="s">
        <v>147</v>
      </c>
      <c r="J4" s="242" t="s">
        <v>147</v>
      </c>
      <c r="K4" s="242" t="s">
        <v>147</v>
      </c>
      <c r="L4" s="242" t="s">
        <v>147</v>
      </c>
      <c r="M4" s="242" t="s">
        <v>147</v>
      </c>
      <c r="N4" s="285" t="s">
        <v>147</v>
      </c>
      <c r="O4" s="285" t="s">
        <v>147</v>
      </c>
    </row>
    <row r="5" spans="1:15" ht="17.25" x14ac:dyDescent="0.25">
      <c r="A5" s="121" t="s">
        <v>31</v>
      </c>
      <c r="B5" s="142">
        <v>2.8666666666666668E-5</v>
      </c>
      <c r="C5" s="142">
        <v>2.8666666666666668E-5</v>
      </c>
      <c r="D5" s="243" t="s">
        <v>3043</v>
      </c>
      <c r="E5" s="244" t="s">
        <v>314</v>
      </c>
      <c r="F5" s="37" t="s">
        <v>3146</v>
      </c>
      <c r="G5" s="262" t="s">
        <v>339</v>
      </c>
      <c r="H5" s="241" t="s">
        <v>297</v>
      </c>
      <c r="I5" s="245" t="s">
        <v>2841</v>
      </c>
      <c r="J5" s="242" t="s">
        <v>147</v>
      </c>
      <c r="K5" s="242" t="s">
        <v>147</v>
      </c>
      <c r="L5" s="242" t="s">
        <v>147</v>
      </c>
      <c r="M5" s="242" t="s">
        <v>147</v>
      </c>
      <c r="N5" s="285" t="s">
        <v>147</v>
      </c>
      <c r="O5" s="285" t="s">
        <v>147</v>
      </c>
    </row>
    <row r="6" spans="1:15" ht="17.25" x14ac:dyDescent="0.25">
      <c r="A6" s="121" t="s">
        <v>292</v>
      </c>
      <c r="B6" s="142">
        <v>1.9747555941314961E-3</v>
      </c>
      <c r="C6" s="240" t="s">
        <v>147</v>
      </c>
      <c r="D6" s="31" t="s">
        <v>307</v>
      </c>
      <c r="E6" s="142" t="s">
        <v>310</v>
      </c>
      <c r="F6" s="142" t="s">
        <v>3122</v>
      </c>
      <c r="G6" s="242" t="s">
        <v>147</v>
      </c>
      <c r="H6" s="242" t="s">
        <v>147</v>
      </c>
      <c r="I6" s="242" t="s">
        <v>147</v>
      </c>
      <c r="J6" s="242" t="s">
        <v>147</v>
      </c>
      <c r="K6" s="242" t="s">
        <v>147</v>
      </c>
      <c r="L6" s="242" t="s">
        <v>147</v>
      </c>
      <c r="M6" s="242" t="s">
        <v>147</v>
      </c>
      <c r="N6" s="242" t="s">
        <v>147</v>
      </c>
      <c r="O6" s="242" t="s">
        <v>147</v>
      </c>
    </row>
    <row r="7" spans="1:15" ht="17.25" x14ac:dyDescent="0.25">
      <c r="A7" s="246"/>
      <c r="B7" s="247"/>
      <c r="C7" s="142">
        <v>2.6975000000000002E-3</v>
      </c>
      <c r="D7" s="31" t="s">
        <v>307</v>
      </c>
      <c r="E7" s="244" t="s">
        <v>313</v>
      </c>
      <c r="F7" s="31" t="s">
        <v>3094</v>
      </c>
      <c r="G7" s="262" t="s">
        <v>374</v>
      </c>
      <c r="H7" s="31" t="s">
        <v>298</v>
      </c>
      <c r="I7" s="31" t="s">
        <v>2842</v>
      </c>
      <c r="J7" s="242" t="s">
        <v>147</v>
      </c>
      <c r="K7" s="242" t="s">
        <v>147</v>
      </c>
      <c r="L7" s="242" t="s">
        <v>147</v>
      </c>
      <c r="M7" s="242" t="s">
        <v>147</v>
      </c>
      <c r="N7" s="285" t="s">
        <v>147</v>
      </c>
      <c r="O7" s="285" t="s">
        <v>147</v>
      </c>
    </row>
    <row r="8" spans="1:15" ht="30" x14ac:dyDescent="0.25">
      <c r="A8" s="246"/>
      <c r="B8" s="247"/>
      <c r="C8" s="142">
        <v>1.0676678239448766E-4</v>
      </c>
      <c r="D8" s="35" t="s">
        <v>3044</v>
      </c>
      <c r="E8" s="240" t="s">
        <v>147</v>
      </c>
      <c r="F8" s="240" t="s">
        <v>147</v>
      </c>
      <c r="G8" s="262" t="s">
        <v>374</v>
      </c>
      <c r="H8" s="31" t="s">
        <v>298</v>
      </c>
      <c r="I8" s="31" t="s">
        <v>2842</v>
      </c>
      <c r="J8" s="31" t="s">
        <v>150</v>
      </c>
      <c r="K8" s="287" t="s">
        <v>149</v>
      </c>
      <c r="L8" s="286">
        <v>2</v>
      </c>
      <c r="M8" s="31" t="s">
        <v>148</v>
      </c>
      <c r="N8" s="288" t="s">
        <v>3041</v>
      </c>
      <c r="O8" s="288" t="s">
        <v>3041</v>
      </c>
    </row>
    <row r="9" spans="1:15" ht="17.25" x14ac:dyDescent="0.25">
      <c r="A9" s="121" t="s">
        <v>293</v>
      </c>
      <c r="B9" s="142">
        <v>6.4199999999999999E-4</v>
      </c>
      <c r="C9" s="244">
        <v>6.4199999999999999E-4</v>
      </c>
      <c r="D9" s="35" t="s">
        <v>168</v>
      </c>
      <c r="E9" s="244" t="s">
        <v>315</v>
      </c>
      <c r="F9" s="232" t="s">
        <v>3125</v>
      </c>
      <c r="G9" s="262" t="s">
        <v>374</v>
      </c>
      <c r="H9" s="31" t="s">
        <v>298</v>
      </c>
      <c r="I9" s="31" t="s">
        <v>2842</v>
      </c>
      <c r="J9" s="242" t="s">
        <v>147</v>
      </c>
      <c r="K9" s="242" t="s">
        <v>147</v>
      </c>
      <c r="L9" s="242" t="s">
        <v>147</v>
      </c>
      <c r="M9" s="242" t="s">
        <v>147</v>
      </c>
      <c r="N9" s="285" t="s">
        <v>147</v>
      </c>
      <c r="O9" s="285" t="s">
        <v>147</v>
      </c>
    </row>
    <row r="10" spans="1:15" ht="48.75" customHeight="1" x14ac:dyDescent="0.25">
      <c r="A10" s="248" t="s">
        <v>42</v>
      </c>
      <c r="B10" s="142">
        <v>1.7433390316131843E-3</v>
      </c>
      <c r="C10" s="244">
        <v>3.1999999999999997E-3</v>
      </c>
      <c r="D10" s="399" t="s">
        <v>113</v>
      </c>
      <c r="E10" s="244" t="s">
        <v>316</v>
      </c>
      <c r="F10" s="249" t="s">
        <v>3126</v>
      </c>
      <c r="G10" s="262" t="s">
        <v>374</v>
      </c>
      <c r="H10" s="31" t="s">
        <v>298</v>
      </c>
      <c r="I10" s="31" t="s">
        <v>2842</v>
      </c>
      <c r="J10" s="242" t="s">
        <v>147</v>
      </c>
      <c r="K10" s="242" t="s">
        <v>147</v>
      </c>
      <c r="L10" s="242" t="s">
        <v>147</v>
      </c>
      <c r="M10" s="242" t="s">
        <v>147</v>
      </c>
      <c r="N10" s="285" t="s">
        <v>147</v>
      </c>
      <c r="O10" s="285" t="s">
        <v>147</v>
      </c>
    </row>
    <row r="11" spans="1:15" ht="36" customHeight="1" x14ac:dyDescent="0.25">
      <c r="A11" s="121"/>
      <c r="B11" s="31"/>
      <c r="C11" s="142">
        <v>2.8667806322636908E-4</v>
      </c>
      <c r="D11" s="35" t="s">
        <v>3044</v>
      </c>
      <c r="E11" s="240" t="s">
        <v>147</v>
      </c>
      <c r="F11" s="240" t="s">
        <v>147</v>
      </c>
      <c r="G11" s="262" t="s">
        <v>374</v>
      </c>
      <c r="H11" s="31" t="s">
        <v>298</v>
      </c>
      <c r="I11" s="31" t="s">
        <v>2842</v>
      </c>
      <c r="J11" s="31" t="s">
        <v>151</v>
      </c>
      <c r="K11" s="287" t="s">
        <v>149</v>
      </c>
      <c r="L11" s="286">
        <v>3</v>
      </c>
      <c r="M11" s="31" t="s">
        <v>148</v>
      </c>
      <c r="N11" s="288" t="s">
        <v>3041</v>
      </c>
      <c r="O11" s="288" t="s">
        <v>3041</v>
      </c>
    </row>
    <row r="12" spans="1:15" ht="17.25" x14ac:dyDescent="0.25">
      <c r="A12" s="157" t="s">
        <v>290</v>
      </c>
      <c r="B12" s="244">
        <v>5.2475000000000001E-2</v>
      </c>
      <c r="C12" s="244">
        <v>2E-3</v>
      </c>
      <c r="D12" s="31" t="s">
        <v>308</v>
      </c>
      <c r="E12" s="244" t="s">
        <v>317</v>
      </c>
      <c r="F12" s="249" t="s">
        <v>3124</v>
      </c>
      <c r="G12" s="262" t="s">
        <v>374</v>
      </c>
      <c r="H12" s="31" t="s">
        <v>298</v>
      </c>
      <c r="I12" s="31" t="s">
        <v>2842</v>
      </c>
      <c r="J12" s="242" t="s">
        <v>147</v>
      </c>
      <c r="K12" s="242" t="s">
        <v>147</v>
      </c>
      <c r="L12" s="242" t="s">
        <v>147</v>
      </c>
      <c r="M12" s="242" t="s">
        <v>147</v>
      </c>
      <c r="N12" s="285" t="s">
        <v>147</v>
      </c>
      <c r="O12" s="285" t="s">
        <v>147</v>
      </c>
    </row>
    <row r="13" spans="1:15" ht="17.25" x14ac:dyDescent="0.25">
      <c r="A13" s="35"/>
      <c r="B13" s="31"/>
      <c r="C13" s="240" t="s">
        <v>147</v>
      </c>
      <c r="D13" s="31" t="s">
        <v>114</v>
      </c>
      <c r="E13" s="244" t="s">
        <v>309</v>
      </c>
      <c r="F13" s="142" t="s">
        <v>3122</v>
      </c>
      <c r="G13" s="242" t="s">
        <v>147</v>
      </c>
      <c r="H13" s="242" t="s">
        <v>147</v>
      </c>
      <c r="I13" s="242" t="s">
        <v>147</v>
      </c>
      <c r="J13" s="242" t="s">
        <v>147</v>
      </c>
      <c r="K13" s="242" t="s">
        <v>147</v>
      </c>
      <c r="L13" s="242" t="s">
        <v>147</v>
      </c>
      <c r="M13" s="242" t="s">
        <v>147</v>
      </c>
      <c r="N13" s="285" t="s">
        <v>147</v>
      </c>
      <c r="O13" s="285" t="s">
        <v>147</v>
      </c>
    </row>
    <row r="14" spans="1:15" ht="22.5" customHeight="1" x14ac:dyDescent="0.25">
      <c r="A14" s="41" t="s">
        <v>291</v>
      </c>
      <c r="B14" s="142">
        <v>1.9482734737704722E-2</v>
      </c>
      <c r="C14" s="240" t="s">
        <v>147</v>
      </c>
      <c r="D14" s="241" t="s">
        <v>115</v>
      </c>
      <c r="E14" s="142" t="s">
        <v>312</v>
      </c>
      <c r="F14" s="142" t="s">
        <v>3122</v>
      </c>
      <c r="G14" s="289" t="s">
        <v>147</v>
      </c>
      <c r="H14" s="240" t="s">
        <v>147</v>
      </c>
      <c r="I14" s="240" t="s">
        <v>147</v>
      </c>
      <c r="J14" s="240" t="s">
        <v>147</v>
      </c>
      <c r="K14" s="240" t="s">
        <v>147</v>
      </c>
      <c r="L14" s="240" t="s">
        <v>147</v>
      </c>
      <c r="M14" s="240" t="s">
        <v>147</v>
      </c>
      <c r="N14" s="289" t="s">
        <v>147</v>
      </c>
      <c r="O14" s="289" t="s">
        <v>147</v>
      </c>
    </row>
    <row r="15" spans="1:15" ht="22.5" customHeight="1" x14ac:dyDescent="0.25">
      <c r="A15" s="35"/>
      <c r="B15" s="31"/>
      <c r="C15" s="142">
        <v>3.793048904202765E-3</v>
      </c>
      <c r="D15" s="241" t="s">
        <v>116</v>
      </c>
      <c r="E15" s="240" t="s">
        <v>147</v>
      </c>
      <c r="F15" s="240" t="s">
        <v>147</v>
      </c>
      <c r="G15" s="262" t="s">
        <v>340</v>
      </c>
      <c r="H15" s="31" t="s">
        <v>117</v>
      </c>
      <c r="I15" s="31" t="s">
        <v>2842</v>
      </c>
      <c r="J15" s="31" t="s">
        <v>259</v>
      </c>
      <c r="K15" s="287" t="s">
        <v>149</v>
      </c>
      <c r="L15" s="31" t="s">
        <v>158</v>
      </c>
      <c r="M15" s="31" t="s">
        <v>148</v>
      </c>
      <c r="N15" s="288" t="s">
        <v>3094</v>
      </c>
      <c r="O15" s="288" t="s">
        <v>3094</v>
      </c>
    </row>
    <row r="16" spans="1:15" ht="30" x14ac:dyDescent="0.25">
      <c r="A16" s="35"/>
      <c r="B16" s="31"/>
      <c r="C16" s="142">
        <v>1.0151553089113921E-3</v>
      </c>
      <c r="D16" s="37" t="s">
        <v>117</v>
      </c>
      <c r="E16" s="240" t="s">
        <v>147</v>
      </c>
      <c r="F16" s="240" t="s">
        <v>147</v>
      </c>
      <c r="G16" s="289" t="s">
        <v>147</v>
      </c>
      <c r="H16" s="240" t="s">
        <v>147</v>
      </c>
      <c r="I16" s="240" t="s">
        <v>147</v>
      </c>
      <c r="J16" s="31" t="s">
        <v>152</v>
      </c>
      <c r="K16" s="31" t="s">
        <v>153</v>
      </c>
      <c r="L16" s="286">
        <v>8</v>
      </c>
      <c r="M16" s="31" t="s">
        <v>148</v>
      </c>
      <c r="N16" s="288" t="s">
        <v>3041</v>
      </c>
      <c r="O16" s="285" t="s">
        <v>147</v>
      </c>
    </row>
    <row r="17" spans="1:15" ht="17.25" x14ac:dyDescent="0.25">
      <c r="A17" s="35" t="s">
        <v>68</v>
      </c>
      <c r="B17" s="142">
        <v>3.2786137140070656E-5</v>
      </c>
      <c r="C17" s="142">
        <v>6.420454545454546E-5</v>
      </c>
      <c r="D17" s="31" t="s">
        <v>68</v>
      </c>
      <c r="E17" s="244" t="s">
        <v>318</v>
      </c>
      <c r="F17" s="31" t="s">
        <v>3094</v>
      </c>
      <c r="G17" s="262" t="s">
        <v>341</v>
      </c>
      <c r="H17" s="31" t="s">
        <v>282</v>
      </c>
      <c r="I17" s="262" t="s">
        <v>2843</v>
      </c>
      <c r="J17" s="240" t="s">
        <v>147</v>
      </c>
      <c r="K17" s="240" t="s">
        <v>147</v>
      </c>
      <c r="L17" s="240" t="s">
        <v>147</v>
      </c>
      <c r="M17" s="240" t="s">
        <v>147</v>
      </c>
      <c r="N17" s="289" t="s">
        <v>147</v>
      </c>
      <c r="O17" s="289" t="s">
        <v>147</v>
      </c>
    </row>
    <row r="18" spans="1:15" ht="30" x14ac:dyDescent="0.25">
      <c r="A18" s="35"/>
      <c r="B18" s="31"/>
      <c r="C18" s="142">
        <f>((0.01*10^2.136)/1000000)</f>
        <v>1.3677288255958501E-6</v>
      </c>
      <c r="D18" s="250"/>
      <c r="E18" s="240" t="s">
        <v>147</v>
      </c>
      <c r="F18" s="240" t="s">
        <v>147</v>
      </c>
      <c r="G18" s="289" t="s">
        <v>147</v>
      </c>
      <c r="H18" s="240" t="s">
        <v>147</v>
      </c>
      <c r="I18" s="240" t="s">
        <v>147</v>
      </c>
      <c r="J18" s="244" t="s">
        <v>164</v>
      </c>
      <c r="K18" s="287" t="s">
        <v>149</v>
      </c>
      <c r="L18" s="286">
        <v>10</v>
      </c>
      <c r="M18" s="31" t="s">
        <v>148</v>
      </c>
      <c r="N18" s="288" t="s">
        <v>3041</v>
      </c>
      <c r="O18" s="288" t="s">
        <v>3041</v>
      </c>
    </row>
    <row r="19" spans="1:15" ht="17.25" x14ac:dyDescent="0.25">
      <c r="A19" s="35" t="s">
        <v>289</v>
      </c>
      <c r="B19" s="142">
        <v>4.3279999999999999E-2</v>
      </c>
      <c r="C19" s="240" t="s">
        <v>147</v>
      </c>
      <c r="D19" s="241" t="s">
        <v>118</v>
      </c>
      <c r="E19" s="142" t="s">
        <v>319</v>
      </c>
      <c r="F19" s="142" t="s">
        <v>3122</v>
      </c>
      <c r="G19" s="289" t="s">
        <v>147</v>
      </c>
      <c r="H19" s="240" t="s">
        <v>147</v>
      </c>
      <c r="I19" s="240" t="s">
        <v>147</v>
      </c>
      <c r="J19" s="240" t="s">
        <v>147</v>
      </c>
      <c r="K19" s="240" t="s">
        <v>147</v>
      </c>
      <c r="L19" s="240" t="s">
        <v>147</v>
      </c>
      <c r="M19" s="240" t="s">
        <v>147</v>
      </c>
      <c r="N19" s="289" t="s">
        <v>147</v>
      </c>
      <c r="O19" s="289" t="s">
        <v>147</v>
      </c>
    </row>
    <row r="20" spans="1:15" ht="17.25" x14ac:dyDescent="0.25">
      <c r="A20" s="35" t="s">
        <v>35</v>
      </c>
      <c r="B20" s="142">
        <v>1.1949999999999999E-5</v>
      </c>
      <c r="C20" s="142">
        <v>1.1949999999999999E-5</v>
      </c>
      <c r="D20" s="31" t="s">
        <v>344</v>
      </c>
      <c r="E20" s="244" t="s">
        <v>320</v>
      </c>
      <c r="F20" s="31" t="s">
        <v>3094</v>
      </c>
      <c r="G20" s="262" t="s">
        <v>374</v>
      </c>
      <c r="H20" s="31" t="s">
        <v>298</v>
      </c>
      <c r="I20" s="31" t="s">
        <v>2842</v>
      </c>
      <c r="J20" s="240" t="s">
        <v>147</v>
      </c>
      <c r="K20" s="240" t="s">
        <v>147</v>
      </c>
      <c r="L20" s="240" t="s">
        <v>147</v>
      </c>
      <c r="M20" s="240" t="s">
        <v>147</v>
      </c>
      <c r="N20" s="289" t="s">
        <v>147</v>
      </c>
      <c r="O20" s="289" t="s">
        <v>147</v>
      </c>
    </row>
    <row r="21" spans="1:15" ht="17.25" x14ac:dyDescent="0.25">
      <c r="A21" s="35" t="s">
        <v>33</v>
      </c>
      <c r="B21" s="142">
        <v>1.885E-7</v>
      </c>
      <c r="C21" s="142">
        <v>1.885E-7</v>
      </c>
      <c r="D21" s="243" t="s">
        <v>119</v>
      </c>
      <c r="E21" s="244" t="s">
        <v>321</v>
      </c>
      <c r="F21" s="245" t="s">
        <v>3123</v>
      </c>
      <c r="G21" s="262" t="s">
        <v>374</v>
      </c>
      <c r="H21" s="31" t="s">
        <v>298</v>
      </c>
      <c r="I21" s="31" t="s">
        <v>3113</v>
      </c>
      <c r="J21" s="240" t="s">
        <v>147</v>
      </c>
      <c r="K21" s="240" t="s">
        <v>147</v>
      </c>
      <c r="L21" s="240" t="s">
        <v>147</v>
      </c>
      <c r="M21" s="240" t="s">
        <v>147</v>
      </c>
      <c r="N21" s="289" t="s">
        <v>147</v>
      </c>
      <c r="O21" s="289" t="s">
        <v>147</v>
      </c>
    </row>
    <row r="22" spans="1:15" ht="19.5" customHeight="1" x14ac:dyDescent="0.25">
      <c r="A22" s="35" t="s">
        <v>92</v>
      </c>
      <c r="B22" s="142">
        <v>1.0754076214455378E-5</v>
      </c>
      <c r="C22" s="142">
        <v>1.0754076214455378E-5</v>
      </c>
      <c r="D22" s="241" t="s">
        <v>120</v>
      </c>
      <c r="E22" s="240" t="s">
        <v>147</v>
      </c>
      <c r="F22" s="240" t="s">
        <v>147</v>
      </c>
      <c r="G22" s="289" t="s">
        <v>147</v>
      </c>
      <c r="H22" s="240" t="s">
        <v>147</v>
      </c>
      <c r="I22" s="240" t="s">
        <v>147</v>
      </c>
      <c r="J22" s="31" t="s">
        <v>163</v>
      </c>
      <c r="K22" s="31" t="s">
        <v>156</v>
      </c>
      <c r="L22" s="31">
        <v>200</v>
      </c>
      <c r="M22" s="287" t="s">
        <v>155</v>
      </c>
      <c r="N22" s="262" t="s">
        <v>3095</v>
      </c>
      <c r="O22" s="262" t="s">
        <v>3096</v>
      </c>
    </row>
    <row r="23" spans="1:15" ht="17.25" x14ac:dyDescent="0.25">
      <c r="A23" s="35" t="s">
        <v>294</v>
      </c>
      <c r="B23" s="142">
        <v>0.43129958316958811</v>
      </c>
      <c r="C23" s="142">
        <v>6.5301212684918458E-3</v>
      </c>
      <c r="D23" s="243" t="s">
        <v>121</v>
      </c>
      <c r="E23" s="240" t="s">
        <v>147</v>
      </c>
      <c r="F23" s="240" t="s">
        <v>147</v>
      </c>
      <c r="G23" s="289" t="s">
        <v>147</v>
      </c>
      <c r="H23" s="240" t="s">
        <v>147</v>
      </c>
      <c r="I23" s="240" t="s">
        <v>147</v>
      </c>
      <c r="J23" s="31" t="s">
        <v>258</v>
      </c>
      <c r="K23" s="287" t="s">
        <v>149</v>
      </c>
      <c r="L23" s="31" t="s">
        <v>157</v>
      </c>
      <c r="M23" s="31" t="s">
        <v>148</v>
      </c>
      <c r="N23" s="427" t="s">
        <v>3095</v>
      </c>
      <c r="O23" s="289" t="s">
        <v>147</v>
      </c>
    </row>
    <row r="24" spans="1:15" ht="39" customHeight="1" x14ac:dyDescent="0.25">
      <c r="A24" s="35"/>
      <c r="B24" s="31"/>
      <c r="C24" s="142">
        <v>0.85606904507068438</v>
      </c>
      <c r="D24" s="241" t="s">
        <v>122</v>
      </c>
      <c r="E24" s="240" t="s">
        <v>147</v>
      </c>
      <c r="F24" s="240" t="s">
        <v>147</v>
      </c>
      <c r="G24" s="262" t="s">
        <v>342</v>
      </c>
      <c r="H24" s="263" t="s">
        <v>303</v>
      </c>
      <c r="I24" s="31" t="s">
        <v>3095</v>
      </c>
      <c r="J24" s="249" t="s">
        <v>160</v>
      </c>
      <c r="K24" s="287" t="s">
        <v>149</v>
      </c>
      <c r="L24" s="31" t="s">
        <v>159</v>
      </c>
      <c r="M24" s="31" t="s">
        <v>148</v>
      </c>
      <c r="N24" s="289" t="s">
        <v>147</v>
      </c>
      <c r="O24" s="427" t="s">
        <v>3095</v>
      </c>
    </row>
    <row r="25" spans="1:15" ht="18" x14ac:dyDescent="0.25">
      <c r="A25" s="35" t="s">
        <v>295</v>
      </c>
      <c r="B25" s="142">
        <v>8.8588400433594391E-5</v>
      </c>
      <c r="C25" s="142">
        <v>7.7462515152903081E-5</v>
      </c>
      <c r="D25" s="243" t="s">
        <v>124</v>
      </c>
      <c r="E25" s="240" t="s">
        <v>147</v>
      </c>
      <c r="F25" s="240" t="s">
        <v>147</v>
      </c>
      <c r="G25" s="289" t="s">
        <v>147</v>
      </c>
      <c r="H25" s="240" t="s">
        <v>147</v>
      </c>
      <c r="I25" s="240" t="s">
        <v>147</v>
      </c>
      <c r="J25" s="31" t="s">
        <v>161</v>
      </c>
      <c r="K25" s="287" t="s">
        <v>149</v>
      </c>
      <c r="L25" s="31">
        <v>600</v>
      </c>
      <c r="M25" s="287" t="s">
        <v>155</v>
      </c>
      <c r="N25" s="262" t="s">
        <v>3097</v>
      </c>
      <c r="O25" s="262" t="s">
        <v>3147</v>
      </c>
    </row>
    <row r="26" spans="1:15" ht="17.25" x14ac:dyDescent="0.25">
      <c r="A26" s="35"/>
      <c r="B26" s="31"/>
      <c r="C26" s="142">
        <v>9.9714285714285701E-5</v>
      </c>
      <c r="D26" s="241" t="s">
        <v>300</v>
      </c>
      <c r="E26" s="244" t="s">
        <v>322</v>
      </c>
      <c r="F26" s="31" t="s">
        <v>3094</v>
      </c>
      <c r="G26" s="262" t="s">
        <v>2871</v>
      </c>
      <c r="H26" s="31" t="s">
        <v>301</v>
      </c>
      <c r="I26" s="31" t="s">
        <v>3113</v>
      </c>
      <c r="J26" s="240" t="s">
        <v>147</v>
      </c>
      <c r="K26" s="240" t="s">
        <v>147</v>
      </c>
      <c r="L26" s="240" t="s">
        <v>147</v>
      </c>
      <c r="M26" s="240" t="s">
        <v>147</v>
      </c>
      <c r="N26" s="289" t="s">
        <v>147</v>
      </c>
      <c r="O26" s="289" t="s">
        <v>147</v>
      </c>
    </row>
    <row r="27" spans="1:15" ht="30" x14ac:dyDescent="0.25">
      <c r="A27" s="35" t="s">
        <v>296</v>
      </c>
      <c r="B27" s="142">
        <v>5.659135880870159E-3</v>
      </c>
      <c r="C27" s="142">
        <v>5.659135880870159E-3</v>
      </c>
      <c r="D27" s="241" t="s">
        <v>125</v>
      </c>
      <c r="E27" s="240" t="s">
        <v>147</v>
      </c>
      <c r="F27" s="240" t="s">
        <v>147</v>
      </c>
      <c r="G27" s="262" t="s">
        <v>343</v>
      </c>
      <c r="H27" s="37" t="s">
        <v>302</v>
      </c>
      <c r="I27" s="249" t="s">
        <v>3095</v>
      </c>
      <c r="J27" s="31" t="s">
        <v>162</v>
      </c>
      <c r="K27" s="287" t="s">
        <v>149</v>
      </c>
      <c r="L27" s="31">
        <v>5.5</v>
      </c>
      <c r="M27" s="31" t="s">
        <v>148</v>
      </c>
      <c r="N27" s="251" t="s">
        <v>3098</v>
      </c>
      <c r="O27" s="251" t="s">
        <v>3098</v>
      </c>
    </row>
    <row r="28" spans="1:15" ht="17.25" x14ac:dyDescent="0.25">
      <c r="A28" s="35" t="s">
        <v>102</v>
      </c>
      <c r="B28" s="142">
        <v>24.5</v>
      </c>
      <c r="C28" s="31"/>
      <c r="D28" s="241" t="s">
        <v>123</v>
      </c>
      <c r="E28" s="142" t="s">
        <v>338</v>
      </c>
      <c r="F28" s="249" t="s">
        <v>3127</v>
      </c>
      <c r="G28" s="289" t="s">
        <v>147</v>
      </c>
      <c r="H28" s="240" t="s">
        <v>147</v>
      </c>
      <c r="I28" s="240" t="s">
        <v>147</v>
      </c>
      <c r="J28" s="240" t="s">
        <v>147</v>
      </c>
      <c r="K28" s="240" t="s">
        <v>147</v>
      </c>
      <c r="L28" s="240" t="s">
        <v>147</v>
      </c>
      <c r="M28" s="240" t="s">
        <v>147</v>
      </c>
      <c r="N28" s="289" t="s">
        <v>147</v>
      </c>
      <c r="O28" s="289" t="s">
        <v>147</v>
      </c>
    </row>
    <row r="29" spans="1:15" ht="17.25" x14ac:dyDescent="0.25">
      <c r="A29" s="35" t="s">
        <v>127</v>
      </c>
      <c r="B29" s="142">
        <v>3.6319877877568599E-4</v>
      </c>
      <c r="C29" s="142">
        <v>3.8854242000000006E-5</v>
      </c>
      <c r="D29" s="241" t="s">
        <v>126</v>
      </c>
      <c r="E29" s="240" t="s">
        <v>147</v>
      </c>
      <c r="F29" s="240" t="s">
        <v>147</v>
      </c>
      <c r="G29" s="289" t="s">
        <v>147</v>
      </c>
      <c r="H29" s="240" t="s">
        <v>147</v>
      </c>
      <c r="I29" s="240" t="s">
        <v>147</v>
      </c>
      <c r="J29" s="31" t="s">
        <v>167</v>
      </c>
      <c r="K29" s="31" t="s">
        <v>153</v>
      </c>
      <c r="L29" s="31">
        <v>0.84599999999999997</v>
      </c>
      <c r="M29" s="31" t="s">
        <v>148</v>
      </c>
      <c r="N29" s="288" t="s">
        <v>3099</v>
      </c>
      <c r="O29" s="262" t="s">
        <v>3100</v>
      </c>
    </row>
    <row r="30" spans="1:15" ht="17.25" x14ac:dyDescent="0.25">
      <c r="A30" s="35"/>
      <c r="B30" s="31"/>
      <c r="C30" s="142">
        <v>7.4711260243093904E-5</v>
      </c>
      <c r="D30" s="241" t="s">
        <v>299</v>
      </c>
      <c r="E30" s="240" t="s">
        <v>147</v>
      </c>
      <c r="F30" s="240" t="s">
        <v>147</v>
      </c>
      <c r="G30" s="262" t="s">
        <v>373</v>
      </c>
      <c r="H30" s="241" t="s">
        <v>299</v>
      </c>
      <c r="I30" s="249" t="s">
        <v>3112</v>
      </c>
      <c r="J30" s="31" t="s">
        <v>165</v>
      </c>
      <c r="K30" s="287" t="s">
        <v>149</v>
      </c>
      <c r="L30" s="31">
        <v>0.84599999999999997</v>
      </c>
      <c r="M30" s="31" t="s">
        <v>148</v>
      </c>
      <c r="N30" s="262" t="s">
        <v>3101</v>
      </c>
      <c r="O30" s="262" t="s">
        <v>3100</v>
      </c>
    </row>
    <row r="31" spans="1:15" ht="30" x14ac:dyDescent="0.25">
      <c r="A31" s="35"/>
      <c r="B31" s="31"/>
      <c r="C31" s="142">
        <v>5.1927672085947435E-5</v>
      </c>
      <c r="D31" s="241" t="s">
        <v>299</v>
      </c>
      <c r="E31" s="240" t="s">
        <v>147</v>
      </c>
      <c r="F31" s="240" t="s">
        <v>147</v>
      </c>
      <c r="G31" s="262" t="s">
        <v>374</v>
      </c>
      <c r="H31" s="31" t="s">
        <v>298</v>
      </c>
      <c r="I31" s="31" t="s">
        <v>3113</v>
      </c>
      <c r="J31" s="31" t="s">
        <v>174</v>
      </c>
      <c r="K31" s="287" t="s">
        <v>149</v>
      </c>
      <c r="L31" s="290">
        <v>0.9375</v>
      </c>
      <c r="M31" s="287" t="s">
        <v>155</v>
      </c>
      <c r="N31" s="288" t="s">
        <v>3041</v>
      </c>
      <c r="O31" s="288" t="s">
        <v>3041</v>
      </c>
    </row>
    <row r="32" spans="1:15" ht="30" x14ac:dyDescent="0.25">
      <c r="A32" s="35"/>
      <c r="B32" s="31"/>
      <c r="C32" s="142">
        <v>4.1401849700339313E-4</v>
      </c>
      <c r="D32" s="241" t="s">
        <v>134</v>
      </c>
      <c r="E32" s="240" t="s">
        <v>147</v>
      </c>
      <c r="F32" s="240" t="s">
        <v>147</v>
      </c>
      <c r="G32" s="262" t="s">
        <v>374</v>
      </c>
      <c r="H32" s="31" t="s">
        <v>298</v>
      </c>
      <c r="I32" s="31" t="s">
        <v>3113</v>
      </c>
      <c r="J32" s="31" t="s">
        <v>174</v>
      </c>
      <c r="K32" s="287" t="s">
        <v>149</v>
      </c>
      <c r="L32" s="31">
        <f>2*1000</f>
        <v>2000</v>
      </c>
      <c r="M32" s="287" t="s">
        <v>155</v>
      </c>
      <c r="N32" s="288" t="s">
        <v>3041</v>
      </c>
      <c r="O32" s="288" t="s">
        <v>3041</v>
      </c>
    </row>
    <row r="33" spans="1:15" ht="30" x14ac:dyDescent="0.25">
      <c r="A33" s="35"/>
      <c r="B33" s="31"/>
      <c r="C33" s="142">
        <v>9.4528716218750662E-5</v>
      </c>
      <c r="D33" s="241" t="s">
        <v>133</v>
      </c>
      <c r="E33" s="240" t="s">
        <v>147</v>
      </c>
      <c r="F33" s="240" t="s">
        <v>147</v>
      </c>
      <c r="G33" s="262" t="s">
        <v>374</v>
      </c>
      <c r="H33" s="31" t="s">
        <v>298</v>
      </c>
      <c r="I33" s="31" t="s">
        <v>3113</v>
      </c>
      <c r="J33" s="31" t="s">
        <v>174</v>
      </c>
      <c r="K33" s="287" t="s">
        <v>149</v>
      </c>
      <c r="L33" s="31">
        <f>1.1666*1000</f>
        <v>1166.6000000000001</v>
      </c>
      <c r="M33" s="287" t="s">
        <v>155</v>
      </c>
      <c r="N33" s="288" t="s">
        <v>3041</v>
      </c>
      <c r="O33" s="288" t="s">
        <v>3041</v>
      </c>
    </row>
    <row r="34" spans="1:15" ht="30" x14ac:dyDescent="0.25">
      <c r="A34" s="35"/>
      <c r="B34" s="31"/>
      <c r="C34" s="142">
        <v>1.8822946424650253E-4</v>
      </c>
      <c r="D34" s="241" t="s">
        <v>21</v>
      </c>
      <c r="E34" s="240" t="s">
        <v>147</v>
      </c>
      <c r="F34" s="240" t="s">
        <v>147</v>
      </c>
      <c r="G34" s="262" t="s">
        <v>374</v>
      </c>
      <c r="H34" s="31" t="s">
        <v>298</v>
      </c>
      <c r="I34" s="31" t="s">
        <v>3113</v>
      </c>
      <c r="J34" s="31" t="s">
        <v>174</v>
      </c>
      <c r="K34" s="287" t="s">
        <v>149</v>
      </c>
      <c r="L34" s="31">
        <v>1500</v>
      </c>
      <c r="M34" s="287" t="s">
        <v>155</v>
      </c>
      <c r="N34" s="288" t="s">
        <v>3041</v>
      </c>
      <c r="O34" s="288" t="s">
        <v>3041</v>
      </c>
    </row>
    <row r="35" spans="1:15" ht="17.25" x14ac:dyDescent="0.25">
      <c r="A35" s="35"/>
      <c r="B35" s="31"/>
      <c r="C35" s="142">
        <v>1.515E-4</v>
      </c>
      <c r="D35" s="241" t="s">
        <v>132</v>
      </c>
      <c r="E35" s="244" t="s">
        <v>323</v>
      </c>
      <c r="F35" s="31" t="s">
        <v>3094</v>
      </c>
      <c r="G35" s="262" t="s">
        <v>374</v>
      </c>
      <c r="H35" s="31" t="s">
        <v>298</v>
      </c>
      <c r="I35" s="31" t="s">
        <v>3113</v>
      </c>
      <c r="J35" s="31"/>
      <c r="K35" s="31"/>
      <c r="L35" s="31"/>
      <c r="M35" s="31"/>
      <c r="N35" s="262"/>
      <c r="O35" s="262"/>
    </row>
    <row r="36" spans="1:15" ht="30" x14ac:dyDescent="0.25">
      <c r="A36" s="35"/>
      <c r="B36" s="31"/>
      <c r="C36" s="142">
        <v>2.765934762139394E-3</v>
      </c>
      <c r="D36" s="241" t="s">
        <v>23</v>
      </c>
      <c r="E36" s="240" t="s">
        <v>147</v>
      </c>
      <c r="F36" s="240" t="s">
        <v>147</v>
      </c>
      <c r="G36" s="262" t="s">
        <v>374</v>
      </c>
      <c r="H36" s="31" t="s">
        <v>298</v>
      </c>
      <c r="I36" s="31" t="s">
        <v>3113</v>
      </c>
      <c r="J36" s="31" t="s">
        <v>174</v>
      </c>
      <c r="K36" s="287" t="s">
        <v>149</v>
      </c>
      <c r="L36" s="31">
        <f>4*1000</f>
        <v>4000</v>
      </c>
      <c r="M36" s="287" t="s">
        <v>155</v>
      </c>
      <c r="N36" s="288" t="s">
        <v>3041</v>
      </c>
      <c r="O36" s="288" t="s">
        <v>3041</v>
      </c>
    </row>
    <row r="37" spans="1:15" ht="30" x14ac:dyDescent="0.25">
      <c r="A37" s="35"/>
      <c r="B37" s="31"/>
      <c r="C37" s="142">
        <v>7.6520649273890626E-5</v>
      </c>
      <c r="D37" s="241" t="s">
        <v>135</v>
      </c>
      <c r="E37" s="240" t="s">
        <v>147</v>
      </c>
      <c r="F37" s="240" t="s">
        <v>147</v>
      </c>
      <c r="G37" s="262" t="s">
        <v>374</v>
      </c>
      <c r="H37" s="31" t="s">
        <v>298</v>
      </c>
      <c r="I37" s="31" t="s">
        <v>3113</v>
      </c>
      <c r="J37" s="31" t="s">
        <v>174</v>
      </c>
      <c r="K37" s="287" t="s">
        <v>149</v>
      </c>
      <c r="L37" s="31">
        <f>1.08*1000</f>
        <v>1080</v>
      </c>
      <c r="M37" s="287" t="s">
        <v>155</v>
      </c>
      <c r="N37" s="288" t="s">
        <v>3041</v>
      </c>
      <c r="O37" s="288" t="s">
        <v>3041</v>
      </c>
    </row>
    <row r="38" spans="1:15" ht="17.25" x14ac:dyDescent="0.25">
      <c r="A38" s="35"/>
      <c r="B38" s="31"/>
      <c r="C38" s="142">
        <v>3.9799999999999992E-4</v>
      </c>
      <c r="D38" s="241" t="s">
        <v>130</v>
      </c>
      <c r="E38" s="244" t="s">
        <v>324</v>
      </c>
      <c r="F38" s="31" t="s">
        <v>3094</v>
      </c>
      <c r="G38" s="262" t="s">
        <v>374</v>
      </c>
      <c r="H38" s="31" t="s">
        <v>298</v>
      </c>
      <c r="I38" s="31" t="s">
        <v>3113</v>
      </c>
      <c r="J38" s="240" t="s">
        <v>147</v>
      </c>
      <c r="K38" s="240" t="s">
        <v>147</v>
      </c>
      <c r="L38" s="240" t="s">
        <v>147</v>
      </c>
      <c r="M38" s="240" t="s">
        <v>147</v>
      </c>
      <c r="N38" s="289" t="s">
        <v>147</v>
      </c>
      <c r="O38" s="289" t="s">
        <v>147</v>
      </c>
    </row>
    <row r="39" spans="1:15" ht="17.25" x14ac:dyDescent="0.25">
      <c r="A39" s="35"/>
      <c r="B39" s="31"/>
      <c r="C39" s="142">
        <v>4.3749999999999996E-6</v>
      </c>
      <c r="D39" s="241" t="s">
        <v>128</v>
      </c>
      <c r="E39" s="244" t="s">
        <v>325</v>
      </c>
      <c r="F39" s="31" t="s">
        <v>3094</v>
      </c>
      <c r="G39" s="262" t="s">
        <v>374</v>
      </c>
      <c r="H39" s="31" t="s">
        <v>298</v>
      </c>
      <c r="I39" s="31" t="s">
        <v>3113</v>
      </c>
      <c r="J39" s="240" t="s">
        <v>147</v>
      </c>
      <c r="K39" s="240" t="s">
        <v>147</v>
      </c>
      <c r="L39" s="240" t="s">
        <v>147</v>
      </c>
      <c r="M39" s="240" t="s">
        <v>147</v>
      </c>
      <c r="N39" s="289" t="s">
        <v>147</v>
      </c>
      <c r="O39" s="289" t="s">
        <v>147</v>
      </c>
    </row>
    <row r="40" spans="1:15" ht="17.25" x14ac:dyDescent="0.25">
      <c r="A40" s="35"/>
      <c r="B40" s="31"/>
      <c r="C40" s="142">
        <v>3.3949999999999999E-5</v>
      </c>
      <c r="D40" s="241" t="s">
        <v>129</v>
      </c>
      <c r="E40" s="244" t="s">
        <v>326</v>
      </c>
      <c r="F40" s="31" t="s">
        <v>3094</v>
      </c>
      <c r="G40" s="262" t="s">
        <v>374</v>
      </c>
      <c r="H40" s="31" t="s">
        <v>298</v>
      </c>
      <c r="I40" s="31" t="s">
        <v>3113</v>
      </c>
      <c r="J40" s="240" t="s">
        <v>147</v>
      </c>
      <c r="K40" s="240" t="s">
        <v>147</v>
      </c>
      <c r="L40" s="240" t="s">
        <v>147</v>
      </c>
      <c r="M40" s="240" t="s">
        <v>147</v>
      </c>
      <c r="N40" s="289" t="s">
        <v>147</v>
      </c>
      <c r="O40" s="289" t="s">
        <v>147</v>
      </c>
    </row>
    <row r="41" spans="1:15" ht="17.25" x14ac:dyDescent="0.25">
      <c r="A41" s="35"/>
      <c r="B41" s="31"/>
      <c r="C41" s="142">
        <v>1.2164999999999999E-3</v>
      </c>
      <c r="D41" s="241" t="s">
        <v>171</v>
      </c>
      <c r="E41" s="244" t="s">
        <v>327</v>
      </c>
      <c r="F41" s="31" t="s">
        <v>3094</v>
      </c>
      <c r="G41" s="262" t="s">
        <v>374</v>
      </c>
      <c r="H41" s="31" t="s">
        <v>298</v>
      </c>
      <c r="I41" s="31" t="s">
        <v>3113</v>
      </c>
      <c r="J41" s="240" t="s">
        <v>147</v>
      </c>
      <c r="K41" s="240" t="s">
        <v>147</v>
      </c>
      <c r="L41" s="240" t="s">
        <v>147</v>
      </c>
      <c r="M41" s="240" t="s">
        <v>147</v>
      </c>
      <c r="N41" s="289" t="s">
        <v>147</v>
      </c>
      <c r="O41" s="289" t="s">
        <v>147</v>
      </c>
    </row>
    <row r="42" spans="1:15" ht="17.25" x14ac:dyDescent="0.25">
      <c r="A42" s="35"/>
      <c r="B42" s="31"/>
      <c r="C42" s="142">
        <v>8.0000000000000007E-5</v>
      </c>
      <c r="D42" s="241" t="s">
        <v>131</v>
      </c>
      <c r="E42" s="244" t="s">
        <v>328</v>
      </c>
      <c r="F42" s="31" t="s">
        <v>3094</v>
      </c>
      <c r="G42" s="262" t="s">
        <v>374</v>
      </c>
      <c r="H42" s="31" t="s">
        <v>298</v>
      </c>
      <c r="I42" s="31" t="s">
        <v>3113</v>
      </c>
      <c r="J42" s="240" t="s">
        <v>147</v>
      </c>
      <c r="K42" s="240" t="s">
        <v>147</v>
      </c>
      <c r="L42" s="240" t="s">
        <v>147</v>
      </c>
      <c r="M42" s="240" t="s">
        <v>147</v>
      </c>
      <c r="N42" s="289" t="s">
        <v>147</v>
      </c>
      <c r="O42" s="289" t="s">
        <v>147</v>
      </c>
    </row>
    <row r="43" spans="1:15" ht="30" x14ac:dyDescent="0.25">
      <c r="A43" s="35"/>
      <c r="B43" s="31"/>
      <c r="C43" s="142">
        <v>1.0213019720000334E-4</v>
      </c>
      <c r="D43" s="241" t="s">
        <v>26</v>
      </c>
      <c r="E43" s="240" t="s">
        <v>147</v>
      </c>
      <c r="F43" s="240" t="s">
        <v>147</v>
      </c>
      <c r="G43" s="262" t="s">
        <v>374</v>
      </c>
      <c r="H43" s="31" t="s">
        <v>298</v>
      </c>
      <c r="I43" s="31" t="s">
        <v>3113</v>
      </c>
      <c r="J43" s="31" t="s">
        <v>166</v>
      </c>
      <c r="K43" s="287" t="s">
        <v>149</v>
      </c>
      <c r="L43" s="31">
        <v>1.2</v>
      </c>
      <c r="M43" s="287" t="s">
        <v>155</v>
      </c>
      <c r="N43" s="288" t="s">
        <v>3041</v>
      </c>
      <c r="O43" s="288" t="s">
        <v>3041</v>
      </c>
    </row>
    <row r="44" spans="1:15" ht="30" x14ac:dyDescent="0.25">
      <c r="A44" s="35" t="s">
        <v>136</v>
      </c>
      <c r="B44" s="142">
        <v>1.6234552106950782E-5</v>
      </c>
      <c r="C44" s="142">
        <v>3.3402750912444844E-5</v>
      </c>
      <c r="D44" s="241" t="s">
        <v>74</v>
      </c>
      <c r="E44" s="240" t="s">
        <v>147</v>
      </c>
      <c r="F44" s="240" t="s">
        <v>147</v>
      </c>
      <c r="G44" s="289" t="s">
        <v>147</v>
      </c>
      <c r="H44" s="240" t="s">
        <v>147</v>
      </c>
      <c r="I44" s="240" t="s">
        <v>147</v>
      </c>
      <c r="J44" s="31" t="s">
        <v>175</v>
      </c>
      <c r="K44" s="287" t="s">
        <v>149</v>
      </c>
      <c r="L44" s="31">
        <v>1000</v>
      </c>
      <c r="M44" s="287" t="s">
        <v>155</v>
      </c>
      <c r="N44" s="288" t="s">
        <v>3041</v>
      </c>
      <c r="O44" s="288" t="s">
        <v>3041</v>
      </c>
    </row>
    <row r="45" spans="1:15" ht="17.25" x14ac:dyDescent="0.25">
      <c r="A45" s="35"/>
      <c r="B45" s="31"/>
      <c r="C45" s="142">
        <v>2.1949999999999995E-5</v>
      </c>
      <c r="D45" s="241" t="s">
        <v>137</v>
      </c>
      <c r="E45" s="244" t="s">
        <v>329</v>
      </c>
      <c r="F45" s="31" t="s">
        <v>3094</v>
      </c>
      <c r="G45" s="240" t="s">
        <v>147</v>
      </c>
      <c r="H45" s="240" t="s">
        <v>147</v>
      </c>
      <c r="I45" s="240" t="s">
        <v>147</v>
      </c>
      <c r="J45" s="240" t="s">
        <v>147</v>
      </c>
      <c r="K45" s="240" t="s">
        <v>147</v>
      </c>
      <c r="L45" s="240" t="s">
        <v>147</v>
      </c>
      <c r="M45" s="240" t="s">
        <v>147</v>
      </c>
      <c r="N45" s="289" t="s">
        <v>147</v>
      </c>
      <c r="O45" s="289" t="s">
        <v>147</v>
      </c>
    </row>
    <row r="46" spans="1:15" ht="17.25" x14ac:dyDescent="0.25">
      <c r="A46" s="35"/>
      <c r="B46" s="31"/>
      <c r="C46" s="142">
        <f>(0.008*(0.5^3))*0.001</f>
        <v>9.9999999999999995E-7</v>
      </c>
      <c r="D46" s="241" t="s">
        <v>80</v>
      </c>
      <c r="E46" s="240" t="s">
        <v>147</v>
      </c>
      <c r="F46" s="240" t="s">
        <v>147</v>
      </c>
      <c r="G46" s="289" t="s">
        <v>147</v>
      </c>
      <c r="H46" s="240" t="s">
        <v>147</v>
      </c>
      <c r="I46" s="240" t="s">
        <v>147</v>
      </c>
      <c r="J46" s="31" t="s">
        <v>170</v>
      </c>
      <c r="K46" s="31" t="s">
        <v>153</v>
      </c>
      <c r="L46" s="31" t="s">
        <v>169</v>
      </c>
      <c r="M46" s="31" t="s">
        <v>148</v>
      </c>
      <c r="N46" s="262" t="s">
        <v>3102</v>
      </c>
      <c r="O46" s="262" t="s">
        <v>3103</v>
      </c>
    </row>
    <row r="47" spans="1:15" ht="30" x14ac:dyDescent="0.25">
      <c r="A47" s="35"/>
      <c r="B47" s="31"/>
      <c r="C47" s="142">
        <v>8.5854575153582792E-6</v>
      </c>
      <c r="D47" s="241" t="s">
        <v>80</v>
      </c>
      <c r="E47" s="240" t="s">
        <v>147</v>
      </c>
      <c r="F47" s="240" t="s">
        <v>147</v>
      </c>
      <c r="G47" s="262" t="s">
        <v>374</v>
      </c>
      <c r="H47" s="31" t="s">
        <v>298</v>
      </c>
      <c r="I47" s="31" t="s">
        <v>3113</v>
      </c>
      <c r="J47" s="31" t="s">
        <v>175</v>
      </c>
      <c r="K47" s="287" t="s">
        <v>149</v>
      </c>
      <c r="L47" s="31">
        <f>0.5*1000</f>
        <v>500</v>
      </c>
      <c r="M47" s="287" t="s">
        <v>155</v>
      </c>
      <c r="N47" s="262" t="s">
        <v>3042</v>
      </c>
      <c r="O47" s="262" t="s">
        <v>3042</v>
      </c>
    </row>
    <row r="48" spans="1:15" ht="30" x14ac:dyDescent="0.25">
      <c r="A48" s="252" t="s">
        <v>278</v>
      </c>
      <c r="B48" s="142">
        <v>7.5100792897279703E-5</v>
      </c>
      <c r="C48" s="142">
        <v>1.7091051923074876E-4</v>
      </c>
      <c r="D48" s="241" t="s">
        <v>138</v>
      </c>
      <c r="E48" s="240" t="s">
        <v>147</v>
      </c>
      <c r="F48" s="240" t="s">
        <v>147</v>
      </c>
      <c r="G48" s="262" t="s">
        <v>374</v>
      </c>
      <c r="H48" s="31" t="s">
        <v>298</v>
      </c>
      <c r="I48" s="31" t="s">
        <v>3113</v>
      </c>
      <c r="J48" s="31" t="s">
        <v>175</v>
      </c>
      <c r="K48" s="287" t="s">
        <v>149</v>
      </c>
      <c r="L48" s="31">
        <f>2.3*1000</f>
        <v>2300</v>
      </c>
      <c r="M48" s="287" t="s">
        <v>155</v>
      </c>
      <c r="N48" s="288" t="s">
        <v>3041</v>
      </c>
      <c r="O48" s="288" t="s">
        <v>3041</v>
      </c>
    </row>
    <row r="49" spans="1:15" ht="30" x14ac:dyDescent="0.25">
      <c r="A49" s="35"/>
      <c r="B49" s="142"/>
      <c r="C49" s="142">
        <v>1.4357949252364497E-5</v>
      </c>
      <c r="D49" s="241" t="s">
        <v>139</v>
      </c>
      <c r="E49" s="240" t="s">
        <v>147</v>
      </c>
      <c r="F49" s="240" t="s">
        <v>147</v>
      </c>
      <c r="G49" s="262" t="s">
        <v>374</v>
      </c>
      <c r="H49" s="31" t="s">
        <v>298</v>
      </c>
      <c r="I49" s="31" t="s">
        <v>3113</v>
      </c>
      <c r="J49" s="31" t="s">
        <v>175</v>
      </c>
      <c r="K49" s="287" t="s">
        <v>149</v>
      </c>
      <c r="L49" s="31">
        <f>0.65*1000</f>
        <v>650</v>
      </c>
      <c r="M49" s="287" t="s">
        <v>155</v>
      </c>
      <c r="N49" s="288" t="s">
        <v>3041</v>
      </c>
      <c r="O49" s="288" t="s">
        <v>3041</v>
      </c>
    </row>
    <row r="50" spans="1:15" ht="30" x14ac:dyDescent="0.25">
      <c r="A50" s="35"/>
      <c r="B50" s="142"/>
      <c r="C50" s="142">
        <v>1.5103196383237504E-5</v>
      </c>
      <c r="D50" s="241" t="s">
        <v>173</v>
      </c>
      <c r="E50" s="240" t="s">
        <v>147</v>
      </c>
      <c r="F50" s="240" t="s">
        <v>147</v>
      </c>
      <c r="G50" s="262" t="s">
        <v>374</v>
      </c>
      <c r="H50" s="31" t="s">
        <v>298</v>
      </c>
      <c r="I50" s="31" t="s">
        <v>3113</v>
      </c>
      <c r="J50" s="31" t="s">
        <v>175</v>
      </c>
      <c r="K50" s="287" t="s">
        <v>149</v>
      </c>
      <c r="L50" s="31">
        <f>0.65*1000</f>
        <v>650</v>
      </c>
      <c r="M50" s="287" t="s">
        <v>155</v>
      </c>
      <c r="N50" s="288" t="s">
        <v>3041</v>
      </c>
      <c r="O50" s="288" t="s">
        <v>3041</v>
      </c>
    </row>
    <row r="51" spans="1:15" ht="30" x14ac:dyDescent="0.25">
      <c r="A51" s="35"/>
      <c r="B51" s="142"/>
      <c r="C51" s="142">
        <v>1.0003150672276805E-4</v>
      </c>
      <c r="D51" s="241" t="s">
        <v>140</v>
      </c>
      <c r="E51" s="240" t="s">
        <v>147</v>
      </c>
      <c r="F51" s="240" t="s">
        <v>147</v>
      </c>
      <c r="G51" s="262" t="s">
        <v>374</v>
      </c>
      <c r="H51" s="31" t="s">
        <v>298</v>
      </c>
      <c r="I51" s="31" t="s">
        <v>3113</v>
      </c>
      <c r="J51" s="31" t="s">
        <v>175</v>
      </c>
      <c r="K51" s="287" t="s">
        <v>149</v>
      </c>
      <c r="L51" s="31">
        <f>1.75*1000</f>
        <v>1750</v>
      </c>
      <c r="M51" s="287" t="s">
        <v>155</v>
      </c>
      <c r="N51" s="288" t="s">
        <v>3041</v>
      </c>
      <c r="O51" s="288" t="s">
        <v>3041</v>
      </c>
    </row>
    <row r="52" spans="1:15" ht="17.25" x14ac:dyDescent="0.25">
      <c r="A52" s="121" t="s">
        <v>176</v>
      </c>
      <c r="B52" s="142">
        <v>1.7721712859072483E-5</v>
      </c>
      <c r="C52" s="142">
        <v>2.5862603999379799E-5</v>
      </c>
      <c r="D52" s="241" t="s">
        <v>141</v>
      </c>
      <c r="E52" s="240" t="s">
        <v>147</v>
      </c>
      <c r="F52" s="240" t="s">
        <v>147</v>
      </c>
      <c r="G52" s="262" t="s">
        <v>374</v>
      </c>
      <c r="H52" s="31" t="s">
        <v>298</v>
      </c>
      <c r="I52" s="31" t="s">
        <v>3113</v>
      </c>
      <c r="J52" s="31" t="s">
        <v>177</v>
      </c>
      <c r="K52" s="287" t="s">
        <v>149</v>
      </c>
      <c r="L52" s="31">
        <v>1000</v>
      </c>
      <c r="M52" s="287" t="s">
        <v>155</v>
      </c>
      <c r="N52" s="245" t="s">
        <v>3104</v>
      </c>
      <c r="O52" s="262" t="s">
        <v>3105</v>
      </c>
    </row>
    <row r="53" spans="1:15" ht="17.25" x14ac:dyDescent="0.25">
      <c r="A53" s="35"/>
      <c r="B53" s="142"/>
      <c r="C53" s="142">
        <v>1.0699999999999999E-5</v>
      </c>
      <c r="D53" s="241" t="s">
        <v>142</v>
      </c>
      <c r="E53" s="244" t="s">
        <v>330</v>
      </c>
      <c r="F53" s="31" t="s">
        <v>3094</v>
      </c>
      <c r="G53" s="262" t="s">
        <v>374</v>
      </c>
      <c r="H53" s="31" t="s">
        <v>298</v>
      </c>
      <c r="I53" s="31" t="s">
        <v>3113</v>
      </c>
      <c r="J53" s="240" t="s">
        <v>147</v>
      </c>
      <c r="K53" s="240" t="s">
        <v>147</v>
      </c>
      <c r="L53" s="240" t="s">
        <v>147</v>
      </c>
      <c r="M53" s="240" t="s">
        <v>147</v>
      </c>
      <c r="N53" s="289" t="s">
        <v>147</v>
      </c>
      <c r="O53" s="289" t="s">
        <v>147</v>
      </c>
    </row>
    <row r="54" spans="1:15" ht="30" x14ac:dyDescent="0.25">
      <c r="A54" s="35"/>
      <c r="B54" s="142"/>
      <c r="C54" s="142">
        <v>1.6602534577837646E-5</v>
      </c>
      <c r="D54" s="241" t="s">
        <v>143</v>
      </c>
      <c r="E54" s="240" t="s">
        <v>147</v>
      </c>
      <c r="F54" s="240" t="s">
        <v>147</v>
      </c>
      <c r="G54" s="289" t="s">
        <v>147</v>
      </c>
      <c r="H54" s="240" t="s">
        <v>147</v>
      </c>
      <c r="I54" s="240" t="s">
        <v>147</v>
      </c>
      <c r="J54" s="31" t="s">
        <v>175</v>
      </c>
      <c r="K54" s="287" t="s">
        <v>149</v>
      </c>
      <c r="L54" s="31">
        <f>0.7*1000</f>
        <v>700</v>
      </c>
      <c r="M54" s="287" t="s">
        <v>155</v>
      </c>
      <c r="N54" s="288" t="s">
        <v>3041</v>
      </c>
      <c r="O54" s="288" t="s">
        <v>3041</v>
      </c>
    </row>
    <row r="55" spans="1:15" ht="32.25" x14ac:dyDescent="0.25">
      <c r="A55" s="35" t="s">
        <v>178</v>
      </c>
      <c r="B55" s="142">
        <v>1.7536945855177115E-2</v>
      </c>
      <c r="C55" s="142">
        <v>1.7536945855177115E-2</v>
      </c>
      <c r="D55" s="241" t="s">
        <v>144</v>
      </c>
      <c r="E55" s="240" t="s">
        <v>147</v>
      </c>
      <c r="F55" s="240" t="s">
        <v>147</v>
      </c>
      <c r="G55" s="262" t="s">
        <v>2867</v>
      </c>
      <c r="H55" s="249" t="s">
        <v>304</v>
      </c>
      <c r="I55" s="240" t="s">
        <v>147</v>
      </c>
      <c r="J55" s="31" t="s">
        <v>179</v>
      </c>
      <c r="K55" s="287" t="s">
        <v>149</v>
      </c>
      <c r="L55" s="31" t="s">
        <v>180</v>
      </c>
      <c r="M55" s="31" t="s">
        <v>148</v>
      </c>
      <c r="N55" s="262" t="s">
        <v>3106</v>
      </c>
      <c r="O55" s="245" t="s">
        <v>304</v>
      </c>
    </row>
    <row r="56" spans="1:15" ht="17.25" x14ac:dyDescent="0.25">
      <c r="A56" s="35" t="s">
        <v>276</v>
      </c>
      <c r="B56" s="142">
        <v>0.56408134499024021</v>
      </c>
      <c r="C56" s="142">
        <v>0.56408134499024021</v>
      </c>
      <c r="D56" s="253" t="s">
        <v>145</v>
      </c>
      <c r="E56" s="240" t="s">
        <v>147</v>
      </c>
      <c r="F56" s="240" t="s">
        <v>147</v>
      </c>
      <c r="G56" s="289" t="s">
        <v>147</v>
      </c>
      <c r="H56" s="240" t="s">
        <v>147</v>
      </c>
      <c r="I56" s="240" t="s">
        <v>147</v>
      </c>
      <c r="J56" s="31" t="s">
        <v>2840</v>
      </c>
      <c r="K56" s="31" t="s">
        <v>156</v>
      </c>
      <c r="L56" s="31">
        <v>0.8</v>
      </c>
      <c r="M56" s="31" t="s">
        <v>182</v>
      </c>
      <c r="N56" s="245" t="s">
        <v>3107</v>
      </c>
      <c r="O56" s="245" t="s">
        <v>181</v>
      </c>
    </row>
    <row r="57" spans="1:15" ht="17.25" x14ac:dyDescent="0.25">
      <c r="A57" s="35" t="s">
        <v>183</v>
      </c>
      <c r="B57" s="142">
        <v>2.5594455606184528E-2</v>
      </c>
      <c r="C57" s="142">
        <v>2.5594455606184528E-2</v>
      </c>
      <c r="D57" s="253" t="s">
        <v>145</v>
      </c>
      <c r="E57" s="240" t="s">
        <v>147</v>
      </c>
      <c r="F57" s="240" t="s">
        <v>147</v>
      </c>
      <c r="G57" s="289" t="s">
        <v>147</v>
      </c>
      <c r="H57" s="240" t="s">
        <v>147</v>
      </c>
      <c r="I57" s="240" t="s">
        <v>147</v>
      </c>
      <c r="J57" s="31" t="s">
        <v>2840</v>
      </c>
      <c r="K57" s="31" t="s">
        <v>156</v>
      </c>
      <c r="L57" s="31">
        <v>0.2</v>
      </c>
      <c r="M57" s="31" t="s">
        <v>182</v>
      </c>
      <c r="N57" s="245" t="s">
        <v>3107</v>
      </c>
      <c r="O57" s="245" t="s">
        <v>181</v>
      </c>
    </row>
    <row r="58" spans="1:15" s="6" customFormat="1" ht="17.25" x14ac:dyDescent="0.25">
      <c r="A58" s="35" t="s">
        <v>71</v>
      </c>
      <c r="B58" s="142">
        <v>2.9918467179652172E-2</v>
      </c>
      <c r="C58" s="240" t="s">
        <v>147</v>
      </c>
      <c r="D58" s="241" t="s">
        <v>254</v>
      </c>
      <c r="E58" s="240" t="s">
        <v>147</v>
      </c>
      <c r="F58" s="240" t="s">
        <v>147</v>
      </c>
      <c r="G58" s="262" t="s">
        <v>375</v>
      </c>
      <c r="H58" s="31" t="s">
        <v>255</v>
      </c>
      <c r="I58" s="31" t="s">
        <v>3113</v>
      </c>
      <c r="J58" s="31" t="s">
        <v>256</v>
      </c>
      <c r="K58" s="31" t="s">
        <v>153</v>
      </c>
      <c r="L58" s="31">
        <v>12</v>
      </c>
      <c r="M58" s="31" t="s">
        <v>148</v>
      </c>
      <c r="N58" s="262" t="s">
        <v>3108</v>
      </c>
      <c r="O58" s="262" t="s">
        <v>3111</v>
      </c>
    </row>
    <row r="59" spans="1:15" s="6" customFormat="1" ht="30" x14ac:dyDescent="0.25">
      <c r="A59" s="35" t="s">
        <v>61</v>
      </c>
      <c r="B59" s="142">
        <v>4.6817670614723016E-5</v>
      </c>
      <c r="C59" s="142">
        <v>8.5359999999999982E-5</v>
      </c>
      <c r="D59" s="35" t="s">
        <v>257</v>
      </c>
      <c r="E59" s="240" t="s">
        <v>147</v>
      </c>
      <c r="F59" s="240" t="s">
        <v>147</v>
      </c>
      <c r="G59" s="262" t="s">
        <v>374</v>
      </c>
      <c r="H59" s="31" t="s">
        <v>298</v>
      </c>
      <c r="I59" s="31" t="s">
        <v>3113</v>
      </c>
      <c r="J59" s="31" t="s">
        <v>260</v>
      </c>
      <c r="K59" s="287" t="s">
        <v>149</v>
      </c>
      <c r="L59" s="31">
        <v>1</v>
      </c>
      <c r="M59" s="31" t="s">
        <v>148</v>
      </c>
      <c r="N59" s="245" t="s">
        <v>3109</v>
      </c>
      <c r="O59" s="427" t="s">
        <v>3105</v>
      </c>
    </row>
    <row r="60" spans="1:15" s="6" customFormat="1" ht="30" x14ac:dyDescent="0.25">
      <c r="A60" s="35"/>
      <c r="B60" s="142"/>
      <c r="C60" s="142">
        <f>((3.946*0.7^2.436)/1000000)/0.2</f>
        <v>8.2753412294460456E-6</v>
      </c>
      <c r="D60" s="35" t="s">
        <v>262</v>
      </c>
      <c r="E60" s="240" t="s">
        <v>147</v>
      </c>
      <c r="F60" s="240" t="s">
        <v>147</v>
      </c>
      <c r="G60" s="262" t="s">
        <v>374</v>
      </c>
      <c r="H60" s="31" t="s">
        <v>298</v>
      </c>
      <c r="I60" s="31" t="s">
        <v>3113</v>
      </c>
      <c r="J60" s="31" t="s">
        <v>261</v>
      </c>
      <c r="K60" s="287" t="s">
        <v>149</v>
      </c>
      <c r="L60" s="31">
        <v>0.7</v>
      </c>
      <c r="M60" s="31" t="s">
        <v>148</v>
      </c>
      <c r="N60" s="288" t="s">
        <v>3041</v>
      </c>
      <c r="O60" s="288" t="s">
        <v>3041</v>
      </c>
    </row>
    <row r="61" spans="1:15" ht="18" x14ac:dyDescent="0.25">
      <c r="A61" s="35" t="s">
        <v>39</v>
      </c>
      <c r="B61" s="142">
        <v>1.5924164567314473E-5</v>
      </c>
      <c r="C61" s="142">
        <v>1.5924164567314473E-5</v>
      </c>
      <c r="D61" s="241" t="s">
        <v>264</v>
      </c>
      <c r="E61" s="240" t="s">
        <v>147</v>
      </c>
      <c r="F61" s="240" t="s">
        <v>147</v>
      </c>
      <c r="G61" s="262" t="s">
        <v>374</v>
      </c>
      <c r="H61" s="31" t="s">
        <v>298</v>
      </c>
      <c r="I61" s="31" t="s">
        <v>3113</v>
      </c>
      <c r="J61" s="31" t="s">
        <v>263</v>
      </c>
      <c r="K61" s="287" t="s">
        <v>149</v>
      </c>
      <c r="L61" s="31">
        <v>725</v>
      </c>
      <c r="M61" s="287" t="s">
        <v>155</v>
      </c>
      <c r="N61" s="288" t="s">
        <v>3094</v>
      </c>
      <c r="O61" s="427" t="s">
        <v>3105</v>
      </c>
    </row>
    <row r="62" spans="1:15" ht="17.25" x14ac:dyDescent="0.25">
      <c r="A62" s="35" t="s">
        <v>7</v>
      </c>
      <c r="B62" s="142">
        <v>1.8319212137748273E-3</v>
      </c>
      <c r="C62" s="142">
        <v>1.2786666666666667E-3</v>
      </c>
      <c r="D62" s="241" t="s">
        <v>265</v>
      </c>
      <c r="E62" s="244" t="s">
        <v>331</v>
      </c>
      <c r="F62" s="31" t="s">
        <v>3094</v>
      </c>
      <c r="G62" s="262" t="s">
        <v>376</v>
      </c>
      <c r="H62" s="240" t="s">
        <v>147</v>
      </c>
      <c r="I62" s="31" t="s">
        <v>3113</v>
      </c>
      <c r="J62" s="31"/>
      <c r="K62" s="240" t="s">
        <v>147</v>
      </c>
      <c r="L62" s="240" t="s">
        <v>147</v>
      </c>
      <c r="M62" s="240" t="s">
        <v>147</v>
      </c>
      <c r="N62" s="289" t="s">
        <v>147</v>
      </c>
      <c r="O62" s="289" t="s">
        <v>147</v>
      </c>
    </row>
    <row r="63" spans="1:15" ht="17.25" x14ac:dyDescent="0.25">
      <c r="A63" s="35"/>
      <c r="B63" s="142"/>
      <c r="C63" s="142">
        <v>8.3553088257369733E-6</v>
      </c>
      <c r="D63" s="241" t="s">
        <v>266</v>
      </c>
      <c r="E63" s="240" t="s">
        <v>147</v>
      </c>
      <c r="F63" s="240" t="s">
        <v>147</v>
      </c>
      <c r="G63" s="262" t="s">
        <v>376</v>
      </c>
      <c r="H63" s="240" t="s">
        <v>147</v>
      </c>
      <c r="I63" s="31" t="s">
        <v>3113</v>
      </c>
      <c r="J63" s="31" t="s">
        <v>267</v>
      </c>
      <c r="K63" s="287" t="s">
        <v>149</v>
      </c>
      <c r="L63" s="31">
        <v>2.2000000000000002</v>
      </c>
      <c r="M63" s="31" t="s">
        <v>148</v>
      </c>
      <c r="N63" s="288" t="s">
        <v>3110</v>
      </c>
      <c r="O63" s="262"/>
    </row>
    <row r="64" spans="1:15" ht="17.25" x14ac:dyDescent="0.25">
      <c r="A64" s="35"/>
      <c r="B64" s="142"/>
      <c r="C64" s="142">
        <v>5.9600000000000007E-4</v>
      </c>
      <c r="D64" s="31" t="s">
        <v>7</v>
      </c>
      <c r="E64" s="244" t="s">
        <v>332</v>
      </c>
      <c r="F64" s="31" t="s">
        <v>3094</v>
      </c>
      <c r="G64" s="262" t="s">
        <v>376</v>
      </c>
      <c r="H64" s="240" t="s">
        <v>147</v>
      </c>
      <c r="I64" s="31" t="s">
        <v>3113</v>
      </c>
      <c r="J64" s="240" t="s">
        <v>147</v>
      </c>
      <c r="K64" s="240" t="s">
        <v>147</v>
      </c>
      <c r="L64" s="240" t="s">
        <v>147</v>
      </c>
      <c r="M64" s="240" t="s">
        <v>147</v>
      </c>
      <c r="N64" s="289" t="s">
        <v>147</v>
      </c>
      <c r="O64" s="289" t="s">
        <v>147</v>
      </c>
    </row>
    <row r="65" spans="1:15" ht="30" x14ac:dyDescent="0.25">
      <c r="A65" s="35"/>
      <c r="B65" s="142"/>
      <c r="C65" s="142">
        <v>5.4404852251940371E-3</v>
      </c>
      <c r="D65" s="35" t="s">
        <v>7</v>
      </c>
      <c r="E65" s="240" t="s">
        <v>147</v>
      </c>
      <c r="F65" s="240" t="s">
        <v>147</v>
      </c>
      <c r="G65" s="262" t="s">
        <v>376</v>
      </c>
      <c r="H65" s="240" t="s">
        <v>147</v>
      </c>
      <c r="I65" s="31" t="s">
        <v>3113</v>
      </c>
      <c r="J65" s="38" t="s">
        <v>268</v>
      </c>
      <c r="K65" s="31" t="s">
        <v>153</v>
      </c>
      <c r="L65" s="31">
        <v>15</v>
      </c>
      <c r="M65" s="31" t="s">
        <v>148</v>
      </c>
      <c r="N65" s="288" t="s">
        <v>3041</v>
      </c>
      <c r="O65" s="288" t="s">
        <v>3041</v>
      </c>
    </row>
    <row r="66" spans="1:15" ht="17.25" x14ac:dyDescent="0.25">
      <c r="A66" s="35" t="s">
        <v>5</v>
      </c>
      <c r="B66" s="142">
        <v>6.2565775000000002E-5</v>
      </c>
      <c r="C66" s="142">
        <v>1.25E-4</v>
      </c>
      <c r="D66" s="241" t="s">
        <v>266</v>
      </c>
      <c r="E66" s="244" t="s">
        <v>333</v>
      </c>
      <c r="F66" s="232" t="s">
        <v>3110</v>
      </c>
      <c r="G66" s="262" t="s">
        <v>374</v>
      </c>
      <c r="H66" s="31" t="s">
        <v>298</v>
      </c>
      <c r="I66" s="31" t="s">
        <v>3113</v>
      </c>
      <c r="J66" s="31"/>
      <c r="K66" s="240" t="s">
        <v>147</v>
      </c>
      <c r="L66" s="240" t="s">
        <v>147</v>
      </c>
      <c r="M66" s="240" t="s">
        <v>147</v>
      </c>
      <c r="N66" s="289" t="s">
        <v>147</v>
      </c>
      <c r="O66" s="289" t="s">
        <v>147</v>
      </c>
    </row>
    <row r="67" spans="1:15" ht="30" x14ac:dyDescent="0.25">
      <c r="A67" s="35"/>
      <c r="B67" s="142"/>
      <c r="C67" s="142">
        <v>1.3154999999999998E-7</v>
      </c>
      <c r="D67" s="241" t="s">
        <v>269</v>
      </c>
      <c r="E67" s="240" t="s">
        <v>147</v>
      </c>
      <c r="F67" s="240" t="s">
        <v>147</v>
      </c>
      <c r="G67" s="262" t="s">
        <v>374</v>
      </c>
      <c r="H67" s="31" t="s">
        <v>298</v>
      </c>
      <c r="I67" s="31" t="s">
        <v>3113</v>
      </c>
      <c r="J67" s="31" t="s">
        <v>273</v>
      </c>
      <c r="K67" s="287" t="s">
        <v>149</v>
      </c>
      <c r="L67" s="31">
        <v>0.27</v>
      </c>
      <c r="M67" s="31" t="s">
        <v>272</v>
      </c>
      <c r="N67" s="288" t="s">
        <v>3041</v>
      </c>
      <c r="O67" s="288" t="s">
        <v>3041</v>
      </c>
    </row>
    <row r="68" spans="1:15" ht="17.25" x14ac:dyDescent="0.25">
      <c r="A68" s="35" t="s">
        <v>51</v>
      </c>
      <c r="B68" s="142">
        <v>1.6537500000000002E-5</v>
      </c>
      <c r="C68" s="142">
        <v>8.0749999999999998E-6</v>
      </c>
      <c r="D68" s="241" t="s">
        <v>277</v>
      </c>
      <c r="E68" s="244" t="s">
        <v>335</v>
      </c>
      <c r="F68" s="31" t="s">
        <v>3119</v>
      </c>
      <c r="G68" s="240" t="s">
        <v>147</v>
      </c>
      <c r="H68" s="240" t="s">
        <v>147</v>
      </c>
      <c r="I68" s="240" t="s">
        <v>147</v>
      </c>
      <c r="J68" s="240" t="s">
        <v>147</v>
      </c>
      <c r="K68" s="240" t="s">
        <v>147</v>
      </c>
      <c r="L68" s="240" t="s">
        <v>147</v>
      </c>
      <c r="M68" s="240" t="s">
        <v>147</v>
      </c>
      <c r="N68" s="289" t="s">
        <v>147</v>
      </c>
      <c r="O68" s="289" t="s">
        <v>147</v>
      </c>
    </row>
    <row r="69" spans="1:15" ht="30" x14ac:dyDescent="0.25">
      <c r="A69" s="35"/>
      <c r="B69" s="31"/>
      <c r="C69" s="142">
        <v>2.5000000000000001E-5</v>
      </c>
      <c r="D69" s="244" t="s">
        <v>275</v>
      </c>
      <c r="E69" s="240" t="s">
        <v>147</v>
      </c>
      <c r="F69" s="240" t="s">
        <v>147</v>
      </c>
      <c r="G69" s="289" t="s">
        <v>147</v>
      </c>
      <c r="H69" s="240" t="s">
        <v>147</v>
      </c>
      <c r="I69" s="240" t="s">
        <v>147</v>
      </c>
      <c r="J69" s="31" t="s">
        <v>274</v>
      </c>
      <c r="K69" s="31" t="s">
        <v>153</v>
      </c>
      <c r="L69" s="31">
        <v>1</v>
      </c>
      <c r="M69" s="31" t="s">
        <v>148</v>
      </c>
      <c r="N69" s="288" t="s">
        <v>3041</v>
      </c>
      <c r="O69" s="288" t="s">
        <v>3041</v>
      </c>
    </row>
    <row r="70" spans="1:15" ht="17.25" x14ac:dyDescent="0.25">
      <c r="A70" s="35" t="s">
        <v>53</v>
      </c>
      <c r="B70" s="142">
        <v>0.39306946062067316</v>
      </c>
      <c r="C70" s="142">
        <v>9.4505494505494502E-7</v>
      </c>
      <c r="D70" s="31" t="s">
        <v>279</v>
      </c>
      <c r="E70" s="244" t="s">
        <v>334</v>
      </c>
      <c r="F70" s="232" t="s">
        <v>3121</v>
      </c>
      <c r="G70" s="262" t="s">
        <v>377</v>
      </c>
      <c r="H70" s="37" t="s">
        <v>255</v>
      </c>
      <c r="I70" s="31" t="s">
        <v>3113</v>
      </c>
      <c r="J70" s="240" t="s">
        <v>147</v>
      </c>
      <c r="K70" s="240" t="s">
        <v>147</v>
      </c>
      <c r="L70" s="240" t="s">
        <v>147</v>
      </c>
      <c r="M70" s="240" t="s">
        <v>147</v>
      </c>
      <c r="N70" s="289" t="s">
        <v>147</v>
      </c>
      <c r="O70" s="289" t="s">
        <v>147</v>
      </c>
    </row>
    <row r="71" spans="1:15" ht="30" x14ac:dyDescent="0.25">
      <c r="A71" s="35"/>
      <c r="B71" s="142"/>
      <c r="C71" s="142">
        <v>0.78613797618640124</v>
      </c>
      <c r="D71" s="35"/>
      <c r="E71" s="240" t="s">
        <v>147</v>
      </c>
      <c r="F71" s="240" t="s">
        <v>147</v>
      </c>
      <c r="G71" s="289" t="s">
        <v>147</v>
      </c>
      <c r="H71" s="240" t="s">
        <v>147</v>
      </c>
      <c r="I71" s="240" t="s">
        <v>147</v>
      </c>
      <c r="J71" s="31" t="s">
        <v>280</v>
      </c>
      <c r="K71" s="287" t="s">
        <v>149</v>
      </c>
      <c r="L71" s="31">
        <v>1.25</v>
      </c>
      <c r="M71" s="31" t="s">
        <v>148</v>
      </c>
      <c r="N71" s="288" t="s">
        <v>3041</v>
      </c>
      <c r="O71" s="288" t="s">
        <v>3041</v>
      </c>
    </row>
    <row r="72" spans="1:15" ht="17.25" x14ac:dyDescent="0.25">
      <c r="A72" s="35" t="s">
        <v>37</v>
      </c>
      <c r="B72" s="142">
        <v>0.39306915109320062</v>
      </c>
      <c r="C72" s="240" t="s">
        <v>147</v>
      </c>
      <c r="D72" s="241" t="s">
        <v>281</v>
      </c>
      <c r="E72" s="142" t="s">
        <v>336</v>
      </c>
      <c r="F72" s="31" t="s">
        <v>3120</v>
      </c>
      <c r="G72" s="289" t="s">
        <v>147</v>
      </c>
      <c r="H72" s="240" t="s">
        <v>147</v>
      </c>
      <c r="I72" s="240" t="s">
        <v>147</v>
      </c>
      <c r="J72" s="240" t="s">
        <v>147</v>
      </c>
      <c r="K72" s="240" t="s">
        <v>147</v>
      </c>
      <c r="L72" s="240" t="s">
        <v>147</v>
      </c>
      <c r="M72" s="240" t="s">
        <v>147</v>
      </c>
      <c r="N72" s="289" t="s">
        <v>147</v>
      </c>
      <c r="O72" s="289" t="s">
        <v>147</v>
      </c>
    </row>
    <row r="73" spans="1:15" ht="30" x14ac:dyDescent="0.25">
      <c r="A73" s="35"/>
      <c r="B73" s="31"/>
      <c r="C73" s="142">
        <v>0.78613797618640124</v>
      </c>
      <c r="D73" s="35" t="s">
        <v>37</v>
      </c>
      <c r="E73" s="240" t="s">
        <v>147</v>
      </c>
      <c r="F73" s="240" t="s">
        <v>147</v>
      </c>
      <c r="G73" s="262" t="s">
        <v>375</v>
      </c>
      <c r="H73" s="31" t="s">
        <v>255</v>
      </c>
      <c r="I73" s="31" t="s">
        <v>3113</v>
      </c>
      <c r="J73" s="31" t="s">
        <v>280</v>
      </c>
      <c r="K73" s="287" t="s">
        <v>149</v>
      </c>
      <c r="L73" s="31">
        <v>1.25</v>
      </c>
      <c r="M73" s="31" t="s">
        <v>148</v>
      </c>
      <c r="N73" s="288" t="s">
        <v>3041</v>
      </c>
      <c r="O73" s="288" t="s">
        <v>3041</v>
      </c>
    </row>
    <row r="74" spans="1:15" ht="17.25" x14ac:dyDescent="0.25">
      <c r="A74" s="35" t="s">
        <v>65</v>
      </c>
      <c r="B74" s="142">
        <v>1.1363636363636364E-4</v>
      </c>
      <c r="C74" s="240" t="s">
        <v>147</v>
      </c>
      <c r="D74" s="31" t="s">
        <v>283</v>
      </c>
      <c r="E74" s="244" t="s">
        <v>337</v>
      </c>
      <c r="F74" s="31" t="s">
        <v>3094</v>
      </c>
      <c r="G74" s="262" t="s">
        <v>378</v>
      </c>
      <c r="H74" s="31" t="s">
        <v>282</v>
      </c>
      <c r="I74" s="31" t="s">
        <v>3144</v>
      </c>
      <c r="J74" s="240" t="s">
        <v>147</v>
      </c>
      <c r="K74" s="240" t="s">
        <v>147</v>
      </c>
      <c r="L74" s="240" t="s">
        <v>147</v>
      </c>
      <c r="M74" s="240" t="s">
        <v>147</v>
      </c>
      <c r="N74" s="289" t="s">
        <v>147</v>
      </c>
      <c r="O74" s="289" t="s">
        <v>147</v>
      </c>
    </row>
    <row r="75" spans="1:15" ht="38.25" customHeight="1" x14ac:dyDescent="0.25">
      <c r="A75" s="254" t="s">
        <v>3</v>
      </c>
      <c r="B75" s="255">
        <v>1.1237085727834783E-2</v>
      </c>
      <c r="C75" s="255">
        <v>7.0442403165055668E-3</v>
      </c>
      <c r="D75" s="241" t="s">
        <v>286</v>
      </c>
      <c r="E75" s="240" t="s">
        <v>147</v>
      </c>
      <c r="F75" s="240" t="s">
        <v>147</v>
      </c>
      <c r="G75" s="262" t="s">
        <v>2870</v>
      </c>
      <c r="H75" s="263" t="s">
        <v>305</v>
      </c>
      <c r="I75" s="262" t="s">
        <v>3114</v>
      </c>
      <c r="J75" s="31" t="s">
        <v>285</v>
      </c>
      <c r="K75" s="287" t="s">
        <v>149</v>
      </c>
      <c r="L75" s="31">
        <v>12</v>
      </c>
      <c r="M75" s="31" t="s">
        <v>148</v>
      </c>
      <c r="N75" s="262" t="s">
        <v>3115</v>
      </c>
      <c r="O75" s="262" t="s">
        <v>3116</v>
      </c>
    </row>
    <row r="76" spans="1:15" ht="21" customHeight="1" thickBot="1" x14ac:dyDescent="0.3">
      <c r="A76" s="122"/>
      <c r="B76" s="130"/>
      <c r="C76" s="130">
        <v>1.5429931139164001E-2</v>
      </c>
      <c r="D76" s="256" t="s">
        <v>287</v>
      </c>
      <c r="E76" s="257" t="s">
        <v>147</v>
      </c>
      <c r="F76" s="257" t="s">
        <v>147</v>
      </c>
      <c r="G76" s="123" t="s">
        <v>374</v>
      </c>
      <c r="H76" s="124" t="s">
        <v>298</v>
      </c>
      <c r="I76" s="124" t="s">
        <v>3113</v>
      </c>
      <c r="J76" s="124" t="s">
        <v>288</v>
      </c>
      <c r="K76" s="124" t="s">
        <v>153</v>
      </c>
      <c r="L76" s="124">
        <v>12</v>
      </c>
      <c r="M76" s="124" t="s">
        <v>148</v>
      </c>
      <c r="N76" s="123"/>
      <c r="O76" s="123" t="s">
        <v>3116</v>
      </c>
    </row>
    <row r="77" spans="1:15" ht="15.75" x14ac:dyDescent="0.25">
      <c r="A77" s="292"/>
      <c r="B77" s="292"/>
      <c r="C77" s="292"/>
      <c r="D77" s="20"/>
      <c r="E77" s="261"/>
      <c r="F77" s="20"/>
      <c r="G77" s="261"/>
      <c r="H77" s="261"/>
      <c r="I77" s="261"/>
      <c r="J77" s="261"/>
      <c r="K77" s="261"/>
      <c r="L77" s="261"/>
      <c r="M77" s="261"/>
      <c r="N77" s="261"/>
      <c r="O77" s="261"/>
    </row>
    <row r="78" spans="1:15" ht="18" x14ac:dyDescent="0.25">
      <c r="A78" s="293" t="s">
        <v>2863</v>
      </c>
      <c r="B78" s="292"/>
      <c r="C78" s="292"/>
      <c r="D78" s="10"/>
      <c r="E78" s="261"/>
      <c r="F78" s="291"/>
      <c r="G78" s="261"/>
      <c r="H78" s="261"/>
      <c r="I78" s="261"/>
      <c r="J78" s="261"/>
      <c r="K78" s="261"/>
      <c r="L78" s="261"/>
      <c r="M78" s="261"/>
      <c r="N78" s="261"/>
      <c r="O78" s="261"/>
    </row>
    <row r="79" spans="1:15" ht="18" x14ac:dyDescent="0.25">
      <c r="A79" s="293" t="s">
        <v>2864</v>
      </c>
      <c r="B79" s="292"/>
      <c r="C79" s="292"/>
      <c r="D79" s="10"/>
      <c r="E79" s="261"/>
      <c r="F79" s="20"/>
      <c r="G79" s="261"/>
      <c r="H79" s="261"/>
      <c r="I79" s="261"/>
      <c r="J79" s="261"/>
      <c r="K79" s="261"/>
      <c r="L79" s="261"/>
      <c r="M79" s="261"/>
      <c r="N79" s="261"/>
      <c r="O79" s="261"/>
    </row>
    <row r="80" spans="1:15" ht="18" x14ac:dyDescent="0.25">
      <c r="A80" s="294" t="s">
        <v>2869</v>
      </c>
      <c r="B80" s="292"/>
      <c r="C80" s="292"/>
      <c r="D80" s="10"/>
      <c r="E80" s="261"/>
      <c r="F80" s="20"/>
      <c r="G80" s="261"/>
      <c r="H80" s="261"/>
      <c r="I80" s="261"/>
      <c r="J80" s="261"/>
      <c r="K80" s="261"/>
      <c r="L80" s="261"/>
      <c r="M80" s="261"/>
      <c r="N80" s="261"/>
      <c r="O80" s="261"/>
    </row>
    <row r="81" spans="1:15" ht="15.75" x14ac:dyDescent="0.25">
      <c r="A81" s="450" t="s">
        <v>2865</v>
      </c>
      <c r="B81" s="450"/>
      <c r="C81" s="450"/>
      <c r="D81" s="450"/>
      <c r="E81" s="261"/>
      <c r="F81" s="20"/>
      <c r="G81" s="261"/>
      <c r="H81" s="261"/>
      <c r="I81" s="261"/>
      <c r="J81" s="261"/>
      <c r="K81" s="261"/>
      <c r="L81" s="261"/>
      <c r="M81" s="261"/>
      <c r="N81" s="261"/>
      <c r="O81" s="261"/>
    </row>
    <row r="82" spans="1:15" ht="21" customHeight="1" x14ac:dyDescent="0.25">
      <c r="A82" s="449" t="s">
        <v>2866</v>
      </c>
      <c r="B82" s="449"/>
      <c r="C82" s="449"/>
      <c r="D82" s="10"/>
      <c r="E82" s="261"/>
      <c r="F82" s="20"/>
      <c r="G82" s="261"/>
      <c r="H82" s="261"/>
      <c r="I82" s="261"/>
      <c r="J82" s="261"/>
      <c r="K82" s="261"/>
      <c r="L82" s="261"/>
      <c r="M82" s="261"/>
      <c r="N82" s="261"/>
      <c r="O82" s="261"/>
    </row>
    <row r="83" spans="1:15" ht="18" x14ac:dyDescent="0.25">
      <c r="A83" s="292" t="s">
        <v>2868</v>
      </c>
      <c r="B83" s="8"/>
      <c r="C83" s="8"/>
      <c r="D83" s="8"/>
    </row>
    <row r="102" spans="5:5" x14ac:dyDescent="0.25">
      <c r="E102" s="284"/>
    </row>
  </sheetData>
  <mergeCells count="3">
    <mergeCell ref="A82:C82"/>
    <mergeCell ref="A1:O1"/>
    <mergeCell ref="A81:D81"/>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D3" sqref="D3"/>
    </sheetView>
  </sheetViews>
  <sheetFormatPr defaultColWidth="35.28515625" defaultRowHeight="15" x14ac:dyDescent="0.25"/>
  <cols>
    <col min="1" max="1" width="22.42578125" customWidth="1"/>
    <col min="2" max="2" width="25.5703125" bestFit="1" customWidth="1"/>
    <col min="3" max="3" width="27" bestFit="1" customWidth="1"/>
    <col min="5" max="5" width="5.5703125" customWidth="1"/>
    <col min="6" max="6" width="4.28515625" customWidth="1"/>
    <col min="7" max="7" width="6.85546875" customWidth="1"/>
  </cols>
  <sheetData>
    <row r="1" spans="1:7" ht="51" customHeight="1" thickBot="1" x14ac:dyDescent="0.3">
      <c r="A1" s="451" t="s">
        <v>3077</v>
      </c>
      <c r="B1" s="451"/>
      <c r="C1" s="451"/>
      <c r="D1" s="451"/>
      <c r="E1" s="451"/>
      <c r="F1" s="451"/>
      <c r="G1" s="451"/>
    </row>
    <row r="2" spans="1:7" ht="18" customHeight="1" thickBot="1" x14ac:dyDescent="0.3">
      <c r="A2" s="191" t="s">
        <v>1906</v>
      </c>
      <c r="B2" s="191" t="s">
        <v>1907</v>
      </c>
      <c r="C2" s="191" t="s">
        <v>1909</v>
      </c>
      <c r="D2" s="191" t="s">
        <v>1908</v>
      </c>
      <c r="E2" s="191" t="s">
        <v>1884</v>
      </c>
      <c r="F2" s="194" t="s">
        <v>1885</v>
      </c>
      <c r="G2" s="194" t="s">
        <v>1886</v>
      </c>
    </row>
    <row r="3" spans="1:7" ht="18" customHeight="1" x14ac:dyDescent="0.25">
      <c r="A3" s="186" t="s">
        <v>1897</v>
      </c>
      <c r="B3" s="186" t="s">
        <v>354</v>
      </c>
      <c r="C3" s="186" t="s">
        <v>1893</v>
      </c>
      <c r="D3" s="186" t="s">
        <v>1892</v>
      </c>
      <c r="E3" s="192">
        <v>26</v>
      </c>
      <c r="F3" s="187">
        <v>0.93799999999999994</v>
      </c>
      <c r="G3" s="187">
        <v>25.603999999999999</v>
      </c>
    </row>
    <row r="4" spans="1:7" ht="18" customHeight="1" x14ac:dyDescent="0.25">
      <c r="A4" s="186" t="s">
        <v>1898</v>
      </c>
      <c r="B4" s="186" t="s">
        <v>354</v>
      </c>
      <c r="C4" s="186" t="s">
        <v>1893</v>
      </c>
      <c r="D4" s="186" t="s">
        <v>1892</v>
      </c>
      <c r="E4" s="192">
        <v>26</v>
      </c>
      <c r="F4" s="187">
        <v>0.93799999999999994</v>
      </c>
      <c r="G4" s="187">
        <v>25.603999999999999</v>
      </c>
    </row>
    <row r="5" spans="1:7" ht="18" customHeight="1" x14ac:dyDescent="0.25">
      <c r="A5" s="188" t="s">
        <v>1887</v>
      </c>
      <c r="B5" s="186" t="s">
        <v>354</v>
      </c>
      <c r="C5" s="186" t="s">
        <v>1893</v>
      </c>
      <c r="D5" s="186" t="s">
        <v>1892</v>
      </c>
      <c r="E5" s="192">
        <v>26</v>
      </c>
      <c r="F5" s="187">
        <v>0.93799999999999994</v>
      </c>
      <c r="G5" s="187">
        <v>25.603999999999999</v>
      </c>
    </row>
    <row r="6" spans="1:7" ht="18" customHeight="1" x14ac:dyDescent="0.25">
      <c r="A6" s="188" t="s">
        <v>1888</v>
      </c>
      <c r="B6" s="186" t="s">
        <v>354</v>
      </c>
      <c r="C6" s="186" t="s">
        <v>1893</v>
      </c>
      <c r="D6" s="186" t="s">
        <v>1892</v>
      </c>
      <c r="E6" s="192">
        <v>26</v>
      </c>
      <c r="F6" s="187">
        <v>0.93799999999999994</v>
      </c>
      <c r="G6" s="187">
        <v>25.603999999999999</v>
      </c>
    </row>
    <row r="7" spans="1:7" ht="18" customHeight="1" x14ac:dyDescent="0.25">
      <c r="A7" s="186" t="s">
        <v>1899</v>
      </c>
      <c r="B7" s="186" t="s">
        <v>354</v>
      </c>
      <c r="C7" s="186" t="s">
        <v>1893</v>
      </c>
      <c r="D7" s="186" t="s">
        <v>1892</v>
      </c>
      <c r="E7" s="192">
        <v>26</v>
      </c>
      <c r="F7" s="187">
        <v>0.93799999999999994</v>
      </c>
      <c r="G7" s="187">
        <v>25.603999999999999</v>
      </c>
    </row>
    <row r="8" spans="1:7" ht="18" customHeight="1" x14ac:dyDescent="0.25">
      <c r="A8" s="186" t="s">
        <v>1900</v>
      </c>
      <c r="B8" s="186" t="s">
        <v>354</v>
      </c>
      <c r="C8" s="186" t="s">
        <v>1893</v>
      </c>
      <c r="D8" s="186" t="s">
        <v>1892</v>
      </c>
      <c r="E8" s="192">
        <v>26</v>
      </c>
      <c r="F8" s="187">
        <v>0.93799999999999994</v>
      </c>
      <c r="G8" s="187">
        <v>25.603999999999999</v>
      </c>
    </row>
    <row r="9" spans="1:7" ht="18" customHeight="1" x14ac:dyDescent="0.25">
      <c r="A9" s="186" t="s">
        <v>1901</v>
      </c>
      <c r="B9" s="186" t="s">
        <v>354</v>
      </c>
      <c r="C9" s="186" t="s">
        <v>1893</v>
      </c>
      <c r="D9" s="186" t="s">
        <v>1892</v>
      </c>
      <c r="E9" s="192">
        <v>26</v>
      </c>
      <c r="F9" s="187">
        <v>0.93799999999999994</v>
      </c>
      <c r="G9" s="187">
        <v>25.603999999999999</v>
      </c>
    </row>
    <row r="10" spans="1:7" ht="18" customHeight="1" x14ac:dyDescent="0.25">
      <c r="A10" s="188" t="s">
        <v>1889</v>
      </c>
      <c r="B10" s="186" t="s">
        <v>354</v>
      </c>
      <c r="C10" s="186" t="s">
        <v>1893</v>
      </c>
      <c r="D10" s="186" t="s">
        <v>1892</v>
      </c>
      <c r="E10" s="192">
        <v>26</v>
      </c>
      <c r="F10" s="187">
        <v>0.93799999999999994</v>
      </c>
      <c r="G10" s="187">
        <v>25.603999999999999</v>
      </c>
    </row>
    <row r="11" spans="1:7" ht="18" customHeight="1" x14ac:dyDescent="0.25">
      <c r="A11" s="188" t="s">
        <v>1890</v>
      </c>
      <c r="B11" s="186" t="s">
        <v>354</v>
      </c>
      <c r="C11" s="186" t="s">
        <v>1893</v>
      </c>
      <c r="D11" s="186" t="s">
        <v>1892</v>
      </c>
      <c r="E11" s="192">
        <v>26</v>
      </c>
      <c r="F11" s="187">
        <v>0.93799999999999994</v>
      </c>
      <c r="G11" s="187">
        <v>25.603999999999999</v>
      </c>
    </row>
    <row r="12" spans="1:7" ht="18" customHeight="1" x14ac:dyDescent="0.25">
      <c r="A12" s="186" t="s">
        <v>1902</v>
      </c>
      <c r="B12" s="186" t="s">
        <v>354</v>
      </c>
      <c r="C12" s="186" t="s">
        <v>1893</v>
      </c>
      <c r="D12" s="186" t="s">
        <v>1892</v>
      </c>
      <c r="E12" s="192">
        <v>26</v>
      </c>
      <c r="F12" s="187">
        <v>0.93799999999999994</v>
      </c>
      <c r="G12" s="187">
        <v>25.603999999999999</v>
      </c>
    </row>
    <row r="13" spans="1:7" ht="18" customHeight="1" x14ac:dyDescent="0.25">
      <c r="A13" s="186" t="s">
        <v>1903</v>
      </c>
      <c r="B13" s="186" t="s">
        <v>354</v>
      </c>
      <c r="C13" s="186" t="s">
        <v>1893</v>
      </c>
      <c r="D13" s="186" t="s">
        <v>1892</v>
      </c>
      <c r="E13" s="192">
        <v>26</v>
      </c>
      <c r="F13" s="187">
        <v>0.93799999999999994</v>
      </c>
      <c r="G13" s="187">
        <v>25.603999999999999</v>
      </c>
    </row>
    <row r="14" spans="1:7" ht="18" customHeight="1" x14ac:dyDescent="0.25">
      <c r="A14" s="188" t="s">
        <v>1891</v>
      </c>
      <c r="B14" s="186" t="s">
        <v>354</v>
      </c>
      <c r="C14" s="186" t="s">
        <v>1893</v>
      </c>
      <c r="D14" s="186" t="s">
        <v>1892</v>
      </c>
      <c r="E14" s="192">
        <v>26</v>
      </c>
      <c r="F14" s="187">
        <v>0.93799999999999994</v>
      </c>
      <c r="G14" s="187">
        <v>25.603999999999999</v>
      </c>
    </row>
    <row r="15" spans="1:7" ht="18" customHeight="1" x14ac:dyDescent="0.25">
      <c r="A15" s="186" t="s">
        <v>1904</v>
      </c>
      <c r="B15" s="186" t="s">
        <v>84</v>
      </c>
      <c r="C15" s="186" t="s">
        <v>1895</v>
      </c>
      <c r="D15" s="186" t="s">
        <v>1894</v>
      </c>
      <c r="E15" s="192">
        <v>905</v>
      </c>
      <c r="F15" s="187">
        <v>9.3299999999999994E-2</v>
      </c>
      <c r="G15" s="187">
        <v>0.84</v>
      </c>
    </row>
    <row r="16" spans="1:7" ht="18" customHeight="1" thickBot="1" x14ac:dyDescent="0.3">
      <c r="A16" s="189" t="s">
        <v>1905</v>
      </c>
      <c r="B16" s="189" t="s">
        <v>84</v>
      </c>
      <c r="C16" s="189" t="s">
        <v>1896</v>
      </c>
      <c r="D16" s="189" t="s">
        <v>1894</v>
      </c>
      <c r="E16" s="193">
        <v>237</v>
      </c>
      <c r="F16" s="190">
        <v>0.28403240000000002</v>
      </c>
      <c r="G16" s="190">
        <v>0.89800000000000002</v>
      </c>
    </row>
    <row r="22" spans="4:4" x14ac:dyDescent="0.25">
      <c r="D22" s="185"/>
    </row>
  </sheetData>
  <mergeCells count="1">
    <mergeCell ref="A1:G1"/>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11"/>
  <sheetViews>
    <sheetView topLeftCell="M1" zoomScale="80" zoomScaleNormal="80" workbookViewId="0">
      <pane ySplit="3" topLeftCell="A66" activePane="bottomLeft" state="frozen"/>
      <selection pane="bottomLeft" activeCell="U72" sqref="U72"/>
    </sheetView>
  </sheetViews>
  <sheetFormatPr defaultColWidth="9.140625" defaultRowHeight="15" x14ac:dyDescent="0.25"/>
  <cols>
    <col min="1" max="1" width="40.28515625" style="202" bestFit="1" customWidth="1"/>
    <col min="2" max="2" width="27" style="200" bestFit="1" customWidth="1"/>
    <col min="3" max="3" width="30.28515625" style="200" bestFit="1" customWidth="1"/>
    <col min="4" max="4" width="18.5703125" style="200" bestFit="1" customWidth="1"/>
    <col min="5" max="5" width="12.7109375" style="200" bestFit="1" customWidth="1"/>
    <col min="6" max="6" width="12.7109375" style="206" bestFit="1" customWidth="1"/>
    <col min="7" max="7" width="14" style="206" customWidth="1"/>
    <col min="8" max="8" width="13.7109375" style="200" customWidth="1"/>
    <col min="9" max="9" width="18.140625" style="200" bestFit="1" customWidth="1"/>
    <col min="10" max="10" width="39.28515625" style="200" bestFit="1" customWidth="1"/>
    <col min="11" max="11" width="25.28515625" style="200" customWidth="1"/>
    <col min="12" max="12" width="41.85546875" style="200" bestFit="1" customWidth="1"/>
    <col min="13" max="19" width="11.7109375" style="206" customWidth="1"/>
    <col min="20" max="20" width="10.85546875" style="206" customWidth="1"/>
    <col min="21" max="21" width="93" style="196" bestFit="1" customWidth="1"/>
    <col min="22" max="16384" width="9.140625" style="200"/>
  </cols>
  <sheetData>
    <row r="1" spans="1:21" ht="17.25" customHeight="1" x14ac:dyDescent="0.25">
      <c r="A1" s="452" t="s">
        <v>3078</v>
      </c>
      <c r="B1" s="452"/>
      <c r="C1" s="452"/>
      <c r="D1" s="452"/>
      <c r="E1" s="452"/>
      <c r="F1" s="452"/>
      <c r="G1" s="452"/>
      <c r="H1" s="452"/>
      <c r="I1" s="452"/>
      <c r="J1" s="210"/>
      <c r="K1" s="210"/>
      <c r="L1" s="210"/>
      <c r="M1" s="278"/>
      <c r="N1" s="278"/>
      <c r="O1" s="278"/>
      <c r="P1" s="278"/>
      <c r="Q1" s="278"/>
      <c r="R1" s="278"/>
      <c r="S1" s="278"/>
      <c r="T1" s="278"/>
      <c r="U1" s="25"/>
    </row>
    <row r="2" spans="1:21" ht="33.75" customHeight="1" thickBot="1" x14ac:dyDescent="0.3">
      <c r="A2" s="453"/>
      <c r="B2" s="453"/>
      <c r="C2" s="453"/>
      <c r="D2" s="453"/>
      <c r="E2" s="453"/>
      <c r="F2" s="453"/>
      <c r="G2" s="453"/>
      <c r="H2" s="453"/>
      <c r="I2" s="453"/>
      <c r="J2" s="131"/>
      <c r="K2" s="131"/>
      <c r="L2" s="131"/>
      <c r="M2" s="279"/>
      <c r="N2" s="279"/>
      <c r="O2" s="279"/>
      <c r="P2" s="279"/>
      <c r="Q2" s="279"/>
      <c r="R2" s="279"/>
      <c r="S2" s="279"/>
      <c r="T2" s="279"/>
      <c r="U2" s="23"/>
    </row>
    <row r="3" spans="1:21" s="203" customFormat="1" ht="15.75" thickBot="1" x14ac:dyDescent="0.3">
      <c r="A3" s="217" t="s">
        <v>243</v>
      </c>
      <c r="B3" s="217" t="s">
        <v>2781</v>
      </c>
      <c r="C3" s="217" t="s">
        <v>242</v>
      </c>
      <c r="D3" s="217" t="s">
        <v>382</v>
      </c>
      <c r="E3" s="217" t="s">
        <v>1910</v>
      </c>
      <c r="F3" s="216" t="s">
        <v>2821</v>
      </c>
      <c r="G3" s="216" t="s">
        <v>2813</v>
      </c>
      <c r="H3" s="217" t="s">
        <v>2811</v>
      </c>
      <c r="I3" s="217" t="s">
        <v>2791</v>
      </c>
      <c r="J3" s="217" t="s">
        <v>2822</v>
      </c>
      <c r="K3" s="217" t="s">
        <v>2823</v>
      </c>
      <c r="L3" s="217" t="s">
        <v>2824</v>
      </c>
      <c r="M3" s="216" t="s">
        <v>2810</v>
      </c>
      <c r="N3" s="216" t="s">
        <v>2812</v>
      </c>
      <c r="O3" s="216" t="s">
        <v>2814</v>
      </c>
      <c r="P3" s="216" t="s">
        <v>2815</v>
      </c>
      <c r="Q3" s="216" t="s">
        <v>2816</v>
      </c>
      <c r="R3" s="216" t="s">
        <v>2817</v>
      </c>
      <c r="S3" s="216" t="s">
        <v>2818</v>
      </c>
      <c r="T3" s="216" t="s">
        <v>2819</v>
      </c>
      <c r="U3" s="217" t="s">
        <v>2820</v>
      </c>
    </row>
    <row r="4" spans="1:21" s="196" customFormat="1" x14ac:dyDescent="0.25">
      <c r="A4" s="211" t="s">
        <v>1022</v>
      </c>
      <c r="B4" s="209" t="s">
        <v>2029</v>
      </c>
      <c r="C4" s="209" t="s">
        <v>2042</v>
      </c>
      <c r="D4" s="209" t="s">
        <v>401</v>
      </c>
      <c r="E4" s="209" t="s">
        <v>1919</v>
      </c>
      <c r="F4" s="208">
        <v>5.481025641025641E-3</v>
      </c>
      <c r="G4" s="208">
        <v>3.2276771794871797</v>
      </c>
      <c r="H4" s="209" t="s">
        <v>1916</v>
      </c>
      <c r="I4" s="209" t="s">
        <v>182</v>
      </c>
      <c r="J4" s="209" t="s">
        <v>1924</v>
      </c>
      <c r="K4" s="212" t="s">
        <v>2798</v>
      </c>
      <c r="L4" s="212"/>
      <c r="M4" s="208">
        <v>0</v>
      </c>
      <c r="N4" s="208">
        <v>1.151</v>
      </c>
      <c r="O4" s="208">
        <v>0</v>
      </c>
      <c r="P4" s="208">
        <v>1.2490000000000001</v>
      </c>
      <c r="Q4" s="208">
        <v>0</v>
      </c>
      <c r="R4" s="208">
        <v>0.80064051240992784</v>
      </c>
      <c r="S4" s="208">
        <v>0</v>
      </c>
      <c r="T4" s="208">
        <v>0.86880973066898348</v>
      </c>
      <c r="U4" s="280" t="s">
        <v>2030</v>
      </c>
    </row>
    <row r="5" spans="1:21" x14ac:dyDescent="0.25">
      <c r="A5" s="211" t="s">
        <v>1582</v>
      </c>
      <c r="B5" s="209" t="s">
        <v>2491</v>
      </c>
      <c r="C5" s="209" t="s">
        <v>2515</v>
      </c>
      <c r="D5" s="209" t="s">
        <v>461</v>
      </c>
      <c r="E5" s="209" t="s">
        <v>1914</v>
      </c>
      <c r="F5" s="208">
        <v>1.4421613E-2</v>
      </c>
      <c r="G5" s="208">
        <v>3.0684109679999998</v>
      </c>
      <c r="H5" s="209" t="s">
        <v>1916</v>
      </c>
      <c r="I5" s="209" t="s">
        <v>182</v>
      </c>
      <c r="J5" s="209" t="s">
        <v>1924</v>
      </c>
      <c r="K5" s="212" t="s">
        <v>2798</v>
      </c>
      <c r="L5" s="209"/>
      <c r="M5" s="208">
        <v>0</v>
      </c>
      <c r="N5" s="208">
        <v>1</v>
      </c>
      <c r="O5" s="208">
        <v>0</v>
      </c>
      <c r="P5" s="208">
        <v>1.2180267965895251</v>
      </c>
      <c r="Q5" s="208">
        <v>0</v>
      </c>
      <c r="R5" s="208">
        <v>0.82099999999999995</v>
      </c>
      <c r="S5" s="208">
        <v>0</v>
      </c>
      <c r="T5" s="208">
        <v>1</v>
      </c>
      <c r="U5" s="280" t="s">
        <v>2493</v>
      </c>
    </row>
    <row r="6" spans="1:21" x14ac:dyDescent="0.25">
      <c r="A6" s="211" t="s">
        <v>778</v>
      </c>
      <c r="B6" s="209" t="s">
        <v>1921</v>
      </c>
      <c r="C6" s="209" t="s">
        <v>1935</v>
      </c>
      <c r="D6" s="209" t="s">
        <v>444</v>
      </c>
      <c r="E6" s="209" t="s">
        <v>1919</v>
      </c>
      <c r="F6" s="208">
        <v>7.6200000000000004E-2</v>
      </c>
      <c r="G6" s="208">
        <v>2.2599999999999998</v>
      </c>
      <c r="H6" s="209" t="s">
        <v>1916</v>
      </c>
      <c r="I6" s="209" t="s">
        <v>182</v>
      </c>
      <c r="J6" s="209" t="s">
        <v>1917</v>
      </c>
      <c r="K6" s="212" t="s">
        <v>2798</v>
      </c>
      <c r="L6" s="209"/>
      <c r="M6" s="208">
        <v>0</v>
      </c>
      <c r="N6" s="208">
        <v>1.2285012285012287</v>
      </c>
      <c r="O6" s="208">
        <v>0</v>
      </c>
      <c r="P6" s="208">
        <v>1.2350000000000001</v>
      </c>
      <c r="Q6" s="208">
        <v>0</v>
      </c>
      <c r="R6" s="208">
        <v>0.80971659919028338</v>
      </c>
      <c r="S6" s="208">
        <v>0</v>
      </c>
      <c r="T6" s="208">
        <v>0.81399999999999995</v>
      </c>
      <c r="U6" s="280" t="s">
        <v>1925</v>
      </c>
    </row>
    <row r="7" spans="1:21" x14ac:dyDescent="0.25">
      <c r="A7" s="211" t="s">
        <v>1641</v>
      </c>
      <c r="B7" s="209" t="s">
        <v>2273</v>
      </c>
      <c r="C7" s="209" t="s">
        <v>2274</v>
      </c>
      <c r="D7" s="209" t="s">
        <v>453</v>
      </c>
      <c r="E7" s="209" t="s">
        <v>1919</v>
      </c>
      <c r="F7" s="208">
        <v>8.660000000000001E-3</v>
      </c>
      <c r="G7" s="208">
        <v>2.9797368421052632</v>
      </c>
      <c r="H7" s="209" t="s">
        <v>1923</v>
      </c>
      <c r="I7" s="209" t="s">
        <v>182</v>
      </c>
      <c r="J7" s="209" t="s">
        <v>1924</v>
      </c>
      <c r="K7" s="212" t="s">
        <v>2798</v>
      </c>
      <c r="L7" s="209"/>
      <c r="M7" s="208">
        <v>0</v>
      </c>
      <c r="N7" s="208">
        <v>1.113</v>
      </c>
      <c r="O7" s="208">
        <v>0</v>
      </c>
      <c r="P7" s="208">
        <v>1.1859999999999999</v>
      </c>
      <c r="Q7" s="208">
        <v>0</v>
      </c>
      <c r="R7" s="208">
        <v>0.84317032040472184</v>
      </c>
      <c r="S7" s="208">
        <v>0</v>
      </c>
      <c r="T7" s="208">
        <v>0.89847259658580414</v>
      </c>
      <c r="U7" s="280" t="s">
        <v>2275</v>
      </c>
    </row>
    <row r="8" spans="1:21" x14ac:dyDescent="0.25">
      <c r="A8" s="211" t="s">
        <v>1637</v>
      </c>
      <c r="B8" s="209" t="s">
        <v>2273</v>
      </c>
      <c r="C8" s="209" t="s">
        <v>2276</v>
      </c>
      <c r="D8" s="209" t="s">
        <v>453</v>
      </c>
      <c r="E8" s="209" t="s">
        <v>1919</v>
      </c>
      <c r="F8" s="208">
        <v>8.660000000000001E-3</v>
      </c>
      <c r="G8" s="208">
        <v>2.9797368421052632</v>
      </c>
      <c r="H8" s="209" t="s">
        <v>1923</v>
      </c>
      <c r="I8" s="209" t="s">
        <v>182</v>
      </c>
      <c r="J8" s="209" t="s">
        <v>1924</v>
      </c>
      <c r="K8" s="212" t="s">
        <v>2798</v>
      </c>
      <c r="L8" s="209"/>
      <c r="M8" s="208">
        <v>0</v>
      </c>
      <c r="N8" s="208">
        <v>1.113</v>
      </c>
      <c r="O8" s="208">
        <v>0</v>
      </c>
      <c r="P8" s="208">
        <v>1.1859999999999999</v>
      </c>
      <c r="Q8" s="208">
        <v>0</v>
      </c>
      <c r="R8" s="208">
        <v>0.84317032040472184</v>
      </c>
      <c r="S8" s="208">
        <v>0</v>
      </c>
      <c r="T8" s="208">
        <v>0.89847259658580414</v>
      </c>
      <c r="U8" s="280" t="s">
        <v>2275</v>
      </c>
    </row>
    <row r="9" spans="1:21" x14ac:dyDescent="0.25">
      <c r="A9" s="211" t="s">
        <v>1639</v>
      </c>
      <c r="B9" s="209" t="s">
        <v>2273</v>
      </c>
      <c r="C9" s="209" t="s">
        <v>2277</v>
      </c>
      <c r="D9" s="209" t="s">
        <v>453</v>
      </c>
      <c r="E9" s="209" t="s">
        <v>1919</v>
      </c>
      <c r="F9" s="208">
        <v>8.660000000000001E-3</v>
      </c>
      <c r="G9" s="208">
        <v>2.9797368421052632</v>
      </c>
      <c r="H9" s="209" t="s">
        <v>1923</v>
      </c>
      <c r="I9" s="209" t="s">
        <v>182</v>
      </c>
      <c r="J9" s="209" t="s">
        <v>1924</v>
      </c>
      <c r="K9" s="212" t="s">
        <v>2798</v>
      </c>
      <c r="L9" s="209"/>
      <c r="M9" s="208">
        <v>0</v>
      </c>
      <c r="N9" s="208">
        <v>1.113</v>
      </c>
      <c r="O9" s="208">
        <v>0</v>
      </c>
      <c r="P9" s="208">
        <v>1.1859999999999999</v>
      </c>
      <c r="Q9" s="208">
        <v>0</v>
      </c>
      <c r="R9" s="208">
        <v>0.84317032040472184</v>
      </c>
      <c r="S9" s="208">
        <v>0</v>
      </c>
      <c r="T9" s="208">
        <v>0.89847259658580414</v>
      </c>
      <c r="U9" s="280" t="s">
        <v>2275</v>
      </c>
    </row>
    <row r="10" spans="1:21" x14ac:dyDescent="0.25">
      <c r="A10" s="211" t="s">
        <v>1643</v>
      </c>
      <c r="B10" s="209" t="s">
        <v>2273</v>
      </c>
      <c r="C10" s="209" t="s">
        <v>2278</v>
      </c>
      <c r="D10" s="209" t="s">
        <v>453</v>
      </c>
      <c r="E10" s="209" t="s">
        <v>1919</v>
      </c>
      <c r="F10" s="208">
        <v>8.660000000000001E-3</v>
      </c>
      <c r="G10" s="208">
        <v>2.9797368421052632</v>
      </c>
      <c r="H10" s="209" t="s">
        <v>1923</v>
      </c>
      <c r="I10" s="209" t="s">
        <v>182</v>
      </c>
      <c r="J10" s="209" t="s">
        <v>1924</v>
      </c>
      <c r="K10" s="212" t="s">
        <v>2798</v>
      </c>
      <c r="L10" s="209"/>
      <c r="M10" s="208">
        <v>0</v>
      </c>
      <c r="N10" s="208">
        <v>1.113</v>
      </c>
      <c r="O10" s="208">
        <v>0</v>
      </c>
      <c r="P10" s="208">
        <v>1.1859999999999999</v>
      </c>
      <c r="Q10" s="208">
        <v>0</v>
      </c>
      <c r="R10" s="208">
        <v>0.84317032040472184</v>
      </c>
      <c r="S10" s="208">
        <v>0</v>
      </c>
      <c r="T10" s="208">
        <v>0.89847259658580414</v>
      </c>
      <c r="U10" s="280" t="s">
        <v>2275</v>
      </c>
    </row>
    <row r="11" spans="1:21" x14ac:dyDescent="0.25">
      <c r="A11" s="211" t="s">
        <v>1586</v>
      </c>
      <c r="B11" s="209" t="s">
        <v>2491</v>
      </c>
      <c r="C11" s="209" t="s">
        <v>2517</v>
      </c>
      <c r="D11" s="209" t="s">
        <v>463</v>
      </c>
      <c r="E11" s="209" t="s">
        <v>1914</v>
      </c>
      <c r="F11" s="208">
        <v>1.4421613E-2</v>
      </c>
      <c r="G11" s="208">
        <v>3.0684109679999998</v>
      </c>
      <c r="H11" s="209" t="s">
        <v>1916</v>
      </c>
      <c r="I11" s="209" t="s">
        <v>182</v>
      </c>
      <c r="J11" s="209" t="s">
        <v>1924</v>
      </c>
      <c r="K11" s="212" t="s">
        <v>2798</v>
      </c>
      <c r="L11" s="209"/>
      <c r="M11" s="208">
        <v>0</v>
      </c>
      <c r="N11" s="208">
        <v>1</v>
      </c>
      <c r="O11" s="208">
        <v>0</v>
      </c>
      <c r="P11" s="208">
        <v>1.2180267965895251</v>
      </c>
      <c r="Q11" s="208">
        <v>0</v>
      </c>
      <c r="R11" s="208">
        <v>0.82099999999999995</v>
      </c>
      <c r="S11" s="208">
        <v>0</v>
      </c>
      <c r="T11" s="208">
        <v>1</v>
      </c>
      <c r="U11" s="280" t="s">
        <v>2493</v>
      </c>
    </row>
    <row r="12" spans="1:21" x14ac:dyDescent="0.25">
      <c r="A12" s="211" t="s">
        <v>799</v>
      </c>
      <c r="B12" s="209" t="s">
        <v>1921</v>
      </c>
      <c r="C12" s="209" t="s">
        <v>1929</v>
      </c>
      <c r="D12" s="209" t="s">
        <v>442</v>
      </c>
      <c r="E12" s="209" t="s">
        <v>1919</v>
      </c>
      <c r="F12" s="208">
        <v>1.1981666666666667E-2</v>
      </c>
      <c r="G12" s="208">
        <v>3.072954444444445</v>
      </c>
      <c r="H12" s="209" t="s">
        <v>1923</v>
      </c>
      <c r="I12" s="209" t="s">
        <v>182</v>
      </c>
      <c r="J12" s="209" t="s">
        <v>1924</v>
      </c>
      <c r="K12" s="212" t="s">
        <v>2798</v>
      </c>
      <c r="L12" s="209"/>
      <c r="M12" s="208">
        <v>0</v>
      </c>
      <c r="N12" s="208">
        <v>1.2285012285012287</v>
      </c>
      <c r="O12" s="208">
        <v>0</v>
      </c>
      <c r="P12" s="208">
        <v>1.2350000000000001</v>
      </c>
      <c r="Q12" s="208">
        <v>0</v>
      </c>
      <c r="R12" s="208">
        <v>0.80971659919028338</v>
      </c>
      <c r="S12" s="208">
        <v>0</v>
      </c>
      <c r="T12" s="208">
        <v>0.81399999999999995</v>
      </c>
      <c r="U12" s="280" t="s">
        <v>1925</v>
      </c>
    </row>
    <row r="13" spans="1:21" x14ac:dyDescent="0.25">
      <c r="A13" s="211" t="s">
        <v>1387</v>
      </c>
      <c r="B13" s="209" t="s">
        <v>2421</v>
      </c>
      <c r="C13" s="209" t="s">
        <v>2426</v>
      </c>
      <c r="D13" s="209" t="s">
        <v>456</v>
      </c>
      <c r="E13" s="209" t="s">
        <v>1919</v>
      </c>
      <c r="F13" s="208">
        <v>1.8204285714285704E-2</v>
      </c>
      <c r="G13" s="208">
        <v>2.9027654761904764</v>
      </c>
      <c r="H13" s="209" t="s">
        <v>1916</v>
      </c>
      <c r="I13" s="209" t="s">
        <v>182</v>
      </c>
      <c r="J13" s="209" t="s">
        <v>1924</v>
      </c>
      <c r="K13" s="212" t="s">
        <v>2798</v>
      </c>
      <c r="L13" s="209"/>
      <c r="M13" s="208">
        <v>0</v>
      </c>
      <c r="N13" s="208">
        <v>1.1339999999999999</v>
      </c>
      <c r="O13" s="208">
        <v>0</v>
      </c>
      <c r="P13" s="208">
        <v>1.2450000000000001</v>
      </c>
      <c r="Q13" s="208">
        <v>0</v>
      </c>
      <c r="R13" s="208">
        <v>0.80321285140562237</v>
      </c>
      <c r="S13" s="208">
        <v>0</v>
      </c>
      <c r="T13" s="208">
        <v>0.88183421516754856</v>
      </c>
      <c r="U13" s="280" t="s">
        <v>2423</v>
      </c>
    </row>
    <row r="14" spans="1:21" x14ac:dyDescent="0.25">
      <c r="A14" s="211" t="s">
        <v>789</v>
      </c>
      <c r="B14" s="209" t="s">
        <v>1921</v>
      </c>
      <c r="C14" s="209" t="s">
        <v>1928</v>
      </c>
      <c r="D14" s="209" t="s">
        <v>442</v>
      </c>
      <c r="E14" s="209" t="s">
        <v>1919</v>
      </c>
      <c r="F14" s="208">
        <v>1.1981666666666667E-2</v>
      </c>
      <c r="G14" s="208">
        <v>3.072954444444445</v>
      </c>
      <c r="H14" s="209" t="s">
        <v>1923</v>
      </c>
      <c r="I14" s="209" t="s">
        <v>182</v>
      </c>
      <c r="J14" s="209" t="s">
        <v>1924</v>
      </c>
      <c r="K14" s="212" t="s">
        <v>2798</v>
      </c>
      <c r="L14" s="209"/>
      <c r="M14" s="208">
        <v>0</v>
      </c>
      <c r="N14" s="208">
        <v>1.2285012285012287</v>
      </c>
      <c r="O14" s="208">
        <v>0</v>
      </c>
      <c r="P14" s="208">
        <v>1.2350000000000001</v>
      </c>
      <c r="Q14" s="208">
        <v>0</v>
      </c>
      <c r="R14" s="208">
        <v>0.80971659919028338</v>
      </c>
      <c r="S14" s="208">
        <v>0</v>
      </c>
      <c r="T14" s="208">
        <v>0.81399999999999995</v>
      </c>
      <c r="U14" s="280" t="s">
        <v>1925</v>
      </c>
    </row>
    <row r="15" spans="1:21" x14ac:dyDescent="0.25">
      <c r="A15" s="211" t="s">
        <v>1393</v>
      </c>
      <c r="B15" s="209" t="s">
        <v>2421</v>
      </c>
      <c r="C15" s="209" t="s">
        <v>405</v>
      </c>
      <c r="D15" s="209" t="s">
        <v>405</v>
      </c>
      <c r="E15" s="209" t="s">
        <v>1914</v>
      </c>
      <c r="F15" s="208">
        <v>1.8204286E-2</v>
      </c>
      <c r="G15" s="208">
        <v>2.9027654749999998</v>
      </c>
      <c r="H15" s="209" t="s">
        <v>1916</v>
      </c>
      <c r="I15" s="209" t="s">
        <v>182</v>
      </c>
      <c r="J15" s="209" t="s">
        <v>1924</v>
      </c>
      <c r="K15" s="212" t="s">
        <v>2798</v>
      </c>
      <c r="L15" s="209"/>
      <c r="M15" s="208">
        <v>0</v>
      </c>
      <c r="N15" s="208">
        <v>1.1339999999999999</v>
      </c>
      <c r="O15" s="208">
        <v>0</v>
      </c>
      <c r="P15" s="208">
        <v>1.2450000000000001</v>
      </c>
      <c r="Q15" s="208">
        <v>0</v>
      </c>
      <c r="R15" s="208">
        <v>0.80321285140562237</v>
      </c>
      <c r="S15" s="208">
        <v>0</v>
      </c>
      <c r="T15" s="208">
        <v>0.88183421516754856</v>
      </c>
      <c r="U15" s="280" t="s">
        <v>2423</v>
      </c>
    </row>
    <row r="16" spans="1:21" x14ac:dyDescent="0.25">
      <c r="A16" s="211" t="s">
        <v>2566</v>
      </c>
      <c r="B16" s="209" t="s">
        <v>2564</v>
      </c>
      <c r="C16" s="209" t="s">
        <v>2567</v>
      </c>
      <c r="D16" s="209" t="s">
        <v>409</v>
      </c>
      <c r="E16" s="209" t="s">
        <v>1919</v>
      </c>
      <c r="F16" s="208">
        <v>3.1127500000000002E-2</v>
      </c>
      <c r="G16" s="208">
        <v>2.9088399999999996</v>
      </c>
      <c r="H16" s="209" t="s">
        <v>1916</v>
      </c>
      <c r="I16" s="209" t="s">
        <v>182</v>
      </c>
      <c r="J16" s="209" t="s">
        <v>1924</v>
      </c>
      <c r="K16" s="212" t="s">
        <v>2798</v>
      </c>
      <c r="L16" s="209"/>
      <c r="M16" s="208">
        <v>-0.94000000000000006</v>
      </c>
      <c r="N16" s="208">
        <v>1.35</v>
      </c>
      <c r="O16" s="208">
        <v>-0.46376811594202905</v>
      </c>
      <c r="P16" s="208">
        <v>1.4492753623188408</v>
      </c>
      <c r="Q16" s="208">
        <v>0.32</v>
      </c>
      <c r="R16" s="208">
        <v>0.69000000000000006</v>
      </c>
      <c r="S16" s="208">
        <v>0.69629629629629619</v>
      </c>
      <c r="T16" s="208">
        <v>0.7407407407407407</v>
      </c>
      <c r="U16" s="280" t="s">
        <v>2565</v>
      </c>
    </row>
    <row r="17" spans="1:21" x14ac:dyDescent="0.25">
      <c r="A17" s="211" t="s">
        <v>1717</v>
      </c>
      <c r="B17" s="209" t="s">
        <v>2564</v>
      </c>
      <c r="C17" s="209" t="s">
        <v>2568</v>
      </c>
      <c r="D17" s="209" t="s">
        <v>409</v>
      </c>
      <c r="E17" s="209" t="s">
        <v>1919</v>
      </c>
      <c r="F17" s="208">
        <v>3.1127500000000002E-2</v>
      </c>
      <c r="G17" s="208">
        <v>2.9088399999999996</v>
      </c>
      <c r="H17" s="209" t="s">
        <v>1916</v>
      </c>
      <c r="I17" s="209" t="s">
        <v>182</v>
      </c>
      <c r="J17" s="209" t="s">
        <v>1924</v>
      </c>
      <c r="K17" s="212" t="s">
        <v>2798</v>
      </c>
      <c r="L17" s="209"/>
      <c r="M17" s="208">
        <v>-0.94000000000000006</v>
      </c>
      <c r="N17" s="208">
        <v>1.35</v>
      </c>
      <c r="O17" s="208">
        <v>-0.46376811594202905</v>
      </c>
      <c r="P17" s="208">
        <v>1.4492753623188408</v>
      </c>
      <c r="Q17" s="208">
        <v>0.32</v>
      </c>
      <c r="R17" s="208">
        <v>0.69000000000000006</v>
      </c>
      <c r="S17" s="208">
        <v>0.69629629629629619</v>
      </c>
      <c r="T17" s="208">
        <v>0.7407407407407407</v>
      </c>
      <c r="U17" s="280" t="s">
        <v>2565</v>
      </c>
    </row>
    <row r="18" spans="1:21" x14ac:dyDescent="0.25">
      <c r="A18" s="211" t="s">
        <v>1715</v>
      </c>
      <c r="B18" s="209" t="s">
        <v>2564</v>
      </c>
      <c r="C18" s="209" t="s">
        <v>2569</v>
      </c>
      <c r="D18" s="209" t="s">
        <v>409</v>
      </c>
      <c r="E18" s="209" t="s">
        <v>1919</v>
      </c>
      <c r="F18" s="208">
        <v>1.37E-2</v>
      </c>
      <c r="G18" s="208">
        <v>3.12</v>
      </c>
      <c r="H18" s="209" t="s">
        <v>1923</v>
      </c>
      <c r="I18" s="209" t="s">
        <v>182</v>
      </c>
      <c r="J18" s="209" t="s">
        <v>1917</v>
      </c>
      <c r="K18" s="212" t="s">
        <v>2798</v>
      </c>
      <c r="L18" s="209"/>
      <c r="M18" s="208">
        <v>-0.94000000000000006</v>
      </c>
      <c r="N18" s="208">
        <v>1.35</v>
      </c>
      <c r="O18" s="208">
        <v>-0.46376811594202905</v>
      </c>
      <c r="P18" s="208">
        <v>1.4492753623188408</v>
      </c>
      <c r="Q18" s="208">
        <v>0.32</v>
      </c>
      <c r="R18" s="208">
        <v>0.69000000000000006</v>
      </c>
      <c r="S18" s="208">
        <v>0.69629629629629619</v>
      </c>
      <c r="T18" s="208">
        <v>0.7407407407407407</v>
      </c>
      <c r="U18" s="280" t="s">
        <v>2565</v>
      </c>
    </row>
    <row r="19" spans="1:21" x14ac:dyDescent="0.25">
      <c r="A19" s="211" t="s">
        <v>2570</v>
      </c>
      <c r="B19" s="209" t="s">
        <v>2564</v>
      </c>
      <c r="C19" s="209" t="s">
        <v>2568</v>
      </c>
      <c r="D19" s="209" t="s">
        <v>409</v>
      </c>
      <c r="E19" s="209" t="s">
        <v>1919</v>
      </c>
      <c r="F19" s="208">
        <v>3.1127500000000002E-2</v>
      </c>
      <c r="G19" s="208">
        <v>2.9088399999999996</v>
      </c>
      <c r="H19" s="209" t="s">
        <v>1916</v>
      </c>
      <c r="I19" s="209" t="s">
        <v>182</v>
      </c>
      <c r="J19" s="209" t="s">
        <v>1924</v>
      </c>
      <c r="K19" s="212" t="s">
        <v>2798</v>
      </c>
      <c r="L19" s="209"/>
      <c r="M19" s="208">
        <v>-0.93999999927099998</v>
      </c>
      <c r="N19" s="208">
        <v>1.3499999995275</v>
      </c>
      <c r="O19" s="208">
        <v>-0.46376811594202905</v>
      </c>
      <c r="P19" s="208">
        <v>1.4492753623188408</v>
      </c>
      <c r="Q19" s="208">
        <v>0.32</v>
      </c>
      <c r="R19" s="208">
        <v>0.69000000000000006</v>
      </c>
      <c r="S19" s="208">
        <v>0.69629629599999998</v>
      </c>
      <c r="T19" s="208">
        <v>0.74074074099999998</v>
      </c>
      <c r="U19" s="280" t="s">
        <v>2565</v>
      </c>
    </row>
    <row r="20" spans="1:21" x14ac:dyDescent="0.25">
      <c r="A20" s="211" t="s">
        <v>1714</v>
      </c>
      <c r="B20" s="209" t="s">
        <v>2564</v>
      </c>
      <c r="C20" s="209" t="s">
        <v>726</v>
      </c>
      <c r="D20" s="209" t="s">
        <v>409</v>
      </c>
      <c r="E20" s="209" t="s">
        <v>1919</v>
      </c>
      <c r="F20" s="208">
        <v>3.1127500000000002E-2</v>
      </c>
      <c r="G20" s="208">
        <v>2.9088399999999996</v>
      </c>
      <c r="H20" s="209" t="s">
        <v>1916</v>
      </c>
      <c r="I20" s="209" t="s">
        <v>182</v>
      </c>
      <c r="J20" s="209" t="s">
        <v>1924</v>
      </c>
      <c r="K20" s="212" t="s">
        <v>2798</v>
      </c>
      <c r="L20" s="209"/>
      <c r="M20" s="208">
        <v>-0.94000000000000006</v>
      </c>
      <c r="N20" s="208">
        <v>1.35</v>
      </c>
      <c r="O20" s="208">
        <v>-0.46376811594202905</v>
      </c>
      <c r="P20" s="208">
        <v>1.4492753623188408</v>
      </c>
      <c r="Q20" s="208">
        <v>0.32</v>
      </c>
      <c r="R20" s="208">
        <v>0.69000000000000006</v>
      </c>
      <c r="S20" s="208">
        <v>0.69629629629629619</v>
      </c>
      <c r="T20" s="208">
        <v>0.7407407407407407</v>
      </c>
      <c r="U20" s="280" t="s">
        <v>2565</v>
      </c>
    </row>
    <row r="21" spans="1:21" x14ac:dyDescent="0.25">
      <c r="A21" s="209" t="s">
        <v>1712</v>
      </c>
      <c r="B21" s="209" t="s">
        <v>2564</v>
      </c>
      <c r="C21" s="209" t="s">
        <v>409</v>
      </c>
      <c r="D21" s="209" t="s">
        <v>409</v>
      </c>
      <c r="E21" s="209" t="s">
        <v>1919</v>
      </c>
      <c r="F21" s="208">
        <v>3.1127500000000002E-2</v>
      </c>
      <c r="G21" s="208">
        <v>2.9088399999999996</v>
      </c>
      <c r="H21" s="209" t="s">
        <v>1916</v>
      </c>
      <c r="I21" s="209" t="s">
        <v>182</v>
      </c>
      <c r="J21" s="209" t="s">
        <v>1924</v>
      </c>
      <c r="K21" s="212" t="s">
        <v>2798</v>
      </c>
      <c r="L21" s="209"/>
      <c r="M21" s="208">
        <v>-0.94000000000000006</v>
      </c>
      <c r="N21" s="208">
        <v>1.35</v>
      </c>
      <c r="O21" s="208">
        <v>-0.46376811594202905</v>
      </c>
      <c r="P21" s="208">
        <v>1.4492753623188408</v>
      </c>
      <c r="Q21" s="208">
        <v>0.32</v>
      </c>
      <c r="R21" s="208">
        <v>0.69000000000000006</v>
      </c>
      <c r="S21" s="208">
        <v>0.69629629629629619</v>
      </c>
      <c r="T21" s="208">
        <v>0.7407407407407407</v>
      </c>
      <c r="U21" s="280" t="s">
        <v>2565</v>
      </c>
    </row>
    <row r="22" spans="1:21" x14ac:dyDescent="0.25">
      <c r="A22" s="211" t="s">
        <v>1059</v>
      </c>
      <c r="B22" s="209" t="s">
        <v>2100</v>
      </c>
      <c r="C22" s="209" t="s">
        <v>2101</v>
      </c>
      <c r="D22" s="209" t="s">
        <v>461</v>
      </c>
      <c r="E22" s="209" t="s">
        <v>1914</v>
      </c>
      <c r="F22" s="208">
        <v>4.5666666666666668E-3</v>
      </c>
      <c r="G22" s="208">
        <v>3.2149999999999999</v>
      </c>
      <c r="H22" s="209" t="s">
        <v>1916</v>
      </c>
      <c r="I22" s="209" t="s">
        <v>182</v>
      </c>
      <c r="J22" s="209" t="s">
        <v>1924</v>
      </c>
      <c r="K22" s="212" t="s">
        <v>2798</v>
      </c>
      <c r="L22" s="209"/>
      <c r="M22" s="208">
        <v>0</v>
      </c>
      <c r="N22" s="208">
        <v>1.1399999999999999</v>
      </c>
      <c r="O22" s="208">
        <v>0</v>
      </c>
      <c r="P22" s="208">
        <v>1.1839999999999999</v>
      </c>
      <c r="Q22" s="281"/>
      <c r="R22" s="281"/>
      <c r="S22" s="208">
        <v>0</v>
      </c>
      <c r="T22" s="208">
        <v>0.87719298245614041</v>
      </c>
      <c r="U22" s="280" t="s">
        <v>2102</v>
      </c>
    </row>
    <row r="23" spans="1:21" x14ac:dyDescent="0.25">
      <c r="A23" s="211" t="s">
        <v>1057</v>
      </c>
      <c r="B23" s="209" t="s">
        <v>2100</v>
      </c>
      <c r="C23" s="209" t="s">
        <v>2103</v>
      </c>
      <c r="D23" s="209" t="s">
        <v>461</v>
      </c>
      <c r="E23" s="209" t="s">
        <v>1914</v>
      </c>
      <c r="F23" s="208">
        <v>4.5666666666666668E-3</v>
      </c>
      <c r="G23" s="208">
        <v>3.2149999999999999</v>
      </c>
      <c r="H23" s="209" t="s">
        <v>1916</v>
      </c>
      <c r="I23" s="209" t="s">
        <v>182</v>
      </c>
      <c r="J23" s="209" t="s">
        <v>1924</v>
      </c>
      <c r="K23" s="212" t="s">
        <v>2798</v>
      </c>
      <c r="L23" s="209"/>
      <c r="M23" s="208">
        <v>0</v>
      </c>
      <c r="N23" s="208">
        <v>1.1399999999999999</v>
      </c>
      <c r="O23" s="208">
        <v>0</v>
      </c>
      <c r="P23" s="208">
        <v>1.1839999999999999</v>
      </c>
      <c r="Q23" s="281"/>
      <c r="R23" s="281"/>
      <c r="S23" s="208">
        <v>0</v>
      </c>
      <c r="T23" s="208">
        <v>0.87719298245614041</v>
      </c>
      <c r="U23" s="280" t="s">
        <v>2102</v>
      </c>
    </row>
    <row r="24" spans="1:21" x14ac:dyDescent="0.25">
      <c r="A24" s="211" t="s">
        <v>1373</v>
      </c>
      <c r="B24" s="209" t="s">
        <v>1911</v>
      </c>
      <c r="C24" s="209" t="s">
        <v>2420</v>
      </c>
      <c r="D24" s="209" t="s">
        <v>459</v>
      </c>
      <c r="E24" s="209" t="s">
        <v>1919</v>
      </c>
      <c r="F24" s="208">
        <v>1.5299999999999999E-3</v>
      </c>
      <c r="G24" s="208">
        <v>3.4279999999999999</v>
      </c>
      <c r="H24" s="209" t="s">
        <v>1916</v>
      </c>
      <c r="I24" s="209" t="s">
        <v>182</v>
      </c>
      <c r="J24" s="209" t="s">
        <v>2105</v>
      </c>
      <c r="K24" s="212" t="s">
        <v>2798</v>
      </c>
      <c r="L24" s="209"/>
      <c r="M24" s="208">
        <v>0</v>
      </c>
      <c r="N24" s="208">
        <v>1.07</v>
      </c>
      <c r="O24" s="281"/>
      <c r="P24" s="281"/>
      <c r="Q24" s="208">
        <v>0</v>
      </c>
      <c r="R24" s="208">
        <v>0.89</v>
      </c>
      <c r="S24" s="208">
        <v>0.995</v>
      </c>
      <c r="T24" s="208">
        <v>0.89200000000000002</v>
      </c>
      <c r="U24" s="280" t="s">
        <v>1911</v>
      </c>
    </row>
    <row r="25" spans="1:21" x14ac:dyDescent="0.25">
      <c r="A25" s="211" t="s">
        <v>899</v>
      </c>
      <c r="B25" s="209" t="s">
        <v>1989</v>
      </c>
      <c r="C25" s="209" t="s">
        <v>1999</v>
      </c>
      <c r="D25" s="209" t="s">
        <v>556</v>
      </c>
      <c r="E25" s="209" t="s">
        <v>1914</v>
      </c>
      <c r="F25" s="208">
        <v>8.0000000000000004E-4</v>
      </c>
      <c r="G25" s="208">
        <v>3.34</v>
      </c>
      <c r="H25" s="209" t="s">
        <v>1916</v>
      </c>
      <c r="I25" s="209" t="s">
        <v>182</v>
      </c>
      <c r="J25" s="209" t="s">
        <v>1924</v>
      </c>
      <c r="K25" s="212" t="s">
        <v>2798</v>
      </c>
      <c r="L25" s="209"/>
      <c r="M25" s="208">
        <v>0</v>
      </c>
      <c r="N25" s="208">
        <v>1</v>
      </c>
      <c r="O25" s="208">
        <v>0</v>
      </c>
      <c r="P25" s="208">
        <v>1.4326647564469914</v>
      </c>
      <c r="Q25" s="208">
        <v>0</v>
      </c>
      <c r="R25" s="208">
        <v>0.69799999999999995</v>
      </c>
      <c r="S25" s="208">
        <v>0</v>
      </c>
      <c r="T25" s="208">
        <v>1</v>
      </c>
      <c r="U25" s="280" t="s">
        <v>1991</v>
      </c>
    </row>
    <row r="26" spans="1:21" x14ac:dyDescent="0.25">
      <c r="A26" s="211" t="s">
        <v>2118</v>
      </c>
      <c r="B26" s="209" t="s">
        <v>2106</v>
      </c>
      <c r="C26" s="209" t="s">
        <v>2119</v>
      </c>
      <c r="D26" s="209" t="s">
        <v>411</v>
      </c>
      <c r="E26" s="209" t="s">
        <v>1914</v>
      </c>
      <c r="F26" s="208">
        <v>2.2069230769230768E-3</v>
      </c>
      <c r="G26" s="208">
        <v>3.1258976923076918</v>
      </c>
      <c r="H26" s="209" t="s">
        <v>1916</v>
      </c>
      <c r="I26" s="209" t="s">
        <v>182</v>
      </c>
      <c r="J26" s="209" t="s">
        <v>1924</v>
      </c>
      <c r="K26" s="212" t="s">
        <v>2798</v>
      </c>
      <c r="L26" s="209"/>
      <c r="M26" s="208">
        <v>0</v>
      </c>
      <c r="N26" s="208">
        <v>1</v>
      </c>
      <c r="O26" s="208">
        <v>0</v>
      </c>
      <c r="P26" s="208">
        <v>1</v>
      </c>
      <c r="Q26" s="208">
        <v>0</v>
      </c>
      <c r="R26" s="208">
        <v>1</v>
      </c>
      <c r="S26" s="208">
        <v>0</v>
      </c>
      <c r="T26" s="208">
        <v>1</v>
      </c>
      <c r="U26" s="280" t="s">
        <v>2108</v>
      </c>
    </row>
    <row r="27" spans="1:21" x14ac:dyDescent="0.25">
      <c r="A27" s="211" t="s">
        <v>910</v>
      </c>
      <c r="B27" s="209" t="s">
        <v>1911</v>
      </c>
      <c r="C27" s="209" t="s">
        <v>2104</v>
      </c>
      <c r="D27" s="209" t="s">
        <v>411</v>
      </c>
      <c r="E27" s="209" t="s">
        <v>1914</v>
      </c>
      <c r="F27" s="208">
        <v>3.4000000000000002E-4</v>
      </c>
      <c r="G27" s="208">
        <v>3.47</v>
      </c>
      <c r="H27" s="209" t="s">
        <v>1911</v>
      </c>
      <c r="I27" s="209" t="s">
        <v>182</v>
      </c>
      <c r="J27" s="209" t="s">
        <v>2105</v>
      </c>
      <c r="K27" s="212" t="s">
        <v>2798</v>
      </c>
      <c r="L27" s="209"/>
      <c r="M27" s="281"/>
      <c r="N27" s="281"/>
      <c r="O27" s="281"/>
      <c r="P27" s="281"/>
      <c r="Q27" s="281"/>
      <c r="R27" s="281"/>
      <c r="S27" s="281"/>
      <c r="T27" s="281"/>
      <c r="U27" s="280" t="s">
        <v>1911</v>
      </c>
    </row>
    <row r="28" spans="1:21" x14ac:dyDescent="0.25">
      <c r="A28" s="211" t="s">
        <v>2171</v>
      </c>
      <c r="B28" s="209" t="s">
        <v>2153</v>
      </c>
      <c r="C28" s="209" t="s">
        <v>2172</v>
      </c>
      <c r="D28" s="209" t="s">
        <v>411</v>
      </c>
      <c r="E28" s="209" t="s">
        <v>1914</v>
      </c>
      <c r="F28" s="208">
        <v>4.7349999999999996E-3</v>
      </c>
      <c r="G28" s="208">
        <v>2.7825000000000002</v>
      </c>
      <c r="H28" s="209" t="s">
        <v>1916</v>
      </c>
      <c r="I28" s="209" t="s">
        <v>182</v>
      </c>
      <c r="J28" s="209" t="s">
        <v>1924</v>
      </c>
      <c r="K28" s="212" t="s">
        <v>2798</v>
      </c>
      <c r="L28" s="209"/>
      <c r="M28" s="208">
        <v>0</v>
      </c>
      <c r="N28" s="208">
        <v>1</v>
      </c>
      <c r="O28" s="208">
        <v>0</v>
      </c>
      <c r="P28" s="208">
        <v>1</v>
      </c>
      <c r="Q28" s="208">
        <v>0</v>
      </c>
      <c r="R28" s="208">
        <v>1</v>
      </c>
      <c r="S28" s="208">
        <v>0</v>
      </c>
      <c r="T28" s="208">
        <v>1</v>
      </c>
      <c r="U28" s="280" t="s">
        <v>2108</v>
      </c>
    </row>
    <row r="29" spans="1:21" x14ac:dyDescent="0.25">
      <c r="A29" s="211" t="s">
        <v>2132</v>
      </c>
      <c r="B29" s="209" t="s">
        <v>2130</v>
      </c>
      <c r="C29" s="209" t="s">
        <v>1911</v>
      </c>
      <c r="D29" s="209" t="s">
        <v>411</v>
      </c>
      <c r="E29" s="209" t="s">
        <v>1914</v>
      </c>
      <c r="F29" s="208">
        <v>4.8500000000000003E-4</v>
      </c>
      <c r="G29" s="208">
        <v>3.3516350000000004</v>
      </c>
      <c r="H29" s="209" t="s">
        <v>1916</v>
      </c>
      <c r="I29" s="209" t="s">
        <v>182</v>
      </c>
      <c r="J29" s="209" t="s">
        <v>1924</v>
      </c>
      <c r="K29" s="212" t="s">
        <v>2798</v>
      </c>
      <c r="L29" s="209"/>
      <c r="M29" s="208">
        <v>0</v>
      </c>
      <c r="N29" s="208">
        <v>1</v>
      </c>
      <c r="O29" s="208">
        <v>0</v>
      </c>
      <c r="P29" s="208">
        <v>1</v>
      </c>
      <c r="Q29" s="208">
        <v>0</v>
      </c>
      <c r="R29" s="208">
        <v>1</v>
      </c>
      <c r="S29" s="208">
        <v>0</v>
      </c>
      <c r="T29" s="208">
        <v>1</v>
      </c>
      <c r="U29" s="280" t="s">
        <v>2108</v>
      </c>
    </row>
    <row r="30" spans="1:21" x14ac:dyDescent="0.25">
      <c r="A30" s="211" t="s">
        <v>2134</v>
      </c>
      <c r="B30" s="209" t="s">
        <v>2130</v>
      </c>
      <c r="C30" s="209" t="s">
        <v>1911</v>
      </c>
      <c r="D30" s="209" t="s">
        <v>411</v>
      </c>
      <c r="E30" s="209" t="s">
        <v>1914</v>
      </c>
      <c r="F30" s="208">
        <v>4.8500000000000003E-4</v>
      </c>
      <c r="G30" s="208">
        <v>3.3516350000000004</v>
      </c>
      <c r="H30" s="209" t="s">
        <v>1916</v>
      </c>
      <c r="I30" s="209" t="s">
        <v>182</v>
      </c>
      <c r="J30" s="209" t="s">
        <v>1924</v>
      </c>
      <c r="K30" s="212" t="s">
        <v>2798</v>
      </c>
      <c r="L30" s="209"/>
      <c r="M30" s="208">
        <v>0</v>
      </c>
      <c r="N30" s="208">
        <v>1</v>
      </c>
      <c r="O30" s="208">
        <v>0</v>
      </c>
      <c r="P30" s="208">
        <v>1</v>
      </c>
      <c r="Q30" s="208">
        <v>0</v>
      </c>
      <c r="R30" s="208">
        <v>1</v>
      </c>
      <c r="S30" s="208">
        <v>0</v>
      </c>
      <c r="T30" s="208">
        <v>1</v>
      </c>
      <c r="U30" s="280" t="s">
        <v>2108</v>
      </c>
    </row>
    <row r="31" spans="1:21" x14ac:dyDescent="0.25">
      <c r="A31" s="211" t="s">
        <v>2133</v>
      </c>
      <c r="B31" s="209" t="s">
        <v>2130</v>
      </c>
      <c r="C31" s="209" t="s">
        <v>1911</v>
      </c>
      <c r="D31" s="209" t="s">
        <v>411</v>
      </c>
      <c r="E31" s="209" t="s">
        <v>1914</v>
      </c>
      <c r="F31" s="208">
        <v>4.8500000000000003E-4</v>
      </c>
      <c r="G31" s="208">
        <v>3.3516350000000004</v>
      </c>
      <c r="H31" s="209" t="s">
        <v>1916</v>
      </c>
      <c r="I31" s="209" t="s">
        <v>182</v>
      </c>
      <c r="J31" s="209" t="s">
        <v>1924</v>
      </c>
      <c r="K31" s="212" t="s">
        <v>2798</v>
      </c>
      <c r="L31" s="209"/>
      <c r="M31" s="208">
        <v>0</v>
      </c>
      <c r="N31" s="208">
        <v>1</v>
      </c>
      <c r="O31" s="208">
        <v>0</v>
      </c>
      <c r="P31" s="208">
        <v>1</v>
      </c>
      <c r="Q31" s="208">
        <v>0</v>
      </c>
      <c r="R31" s="208">
        <v>1</v>
      </c>
      <c r="S31" s="208">
        <v>0</v>
      </c>
      <c r="T31" s="208">
        <v>1</v>
      </c>
      <c r="U31" s="280" t="s">
        <v>2108</v>
      </c>
    </row>
    <row r="32" spans="1:21" x14ac:dyDescent="0.25">
      <c r="A32" s="211" t="s">
        <v>2135</v>
      </c>
      <c r="B32" s="209" t="s">
        <v>2130</v>
      </c>
      <c r="C32" s="209" t="s">
        <v>1911</v>
      </c>
      <c r="D32" s="209" t="s">
        <v>411</v>
      </c>
      <c r="E32" s="209" t="s">
        <v>1914</v>
      </c>
      <c r="F32" s="208">
        <v>4.8500000000000003E-4</v>
      </c>
      <c r="G32" s="208">
        <v>3.3516350000000004</v>
      </c>
      <c r="H32" s="209" t="s">
        <v>1916</v>
      </c>
      <c r="I32" s="209" t="s">
        <v>182</v>
      </c>
      <c r="J32" s="209" t="s">
        <v>1924</v>
      </c>
      <c r="K32" s="212" t="s">
        <v>2798</v>
      </c>
      <c r="L32" s="209"/>
      <c r="M32" s="208">
        <v>0</v>
      </c>
      <c r="N32" s="208">
        <v>1</v>
      </c>
      <c r="O32" s="208">
        <v>0</v>
      </c>
      <c r="P32" s="208">
        <v>1</v>
      </c>
      <c r="Q32" s="208">
        <v>0</v>
      </c>
      <c r="R32" s="208">
        <v>1</v>
      </c>
      <c r="S32" s="208">
        <v>0</v>
      </c>
      <c r="T32" s="208">
        <v>1</v>
      </c>
      <c r="U32" s="280" t="s">
        <v>2108</v>
      </c>
    </row>
    <row r="33" spans="1:21" x14ac:dyDescent="0.25">
      <c r="A33" s="211" t="s">
        <v>944</v>
      </c>
      <c r="B33" s="209" t="s">
        <v>2130</v>
      </c>
      <c r="C33" s="209" t="s">
        <v>2136</v>
      </c>
      <c r="D33" s="209" t="s">
        <v>411</v>
      </c>
      <c r="E33" s="209" t="s">
        <v>1914</v>
      </c>
      <c r="F33" s="208">
        <v>4.8500000000000003E-4</v>
      </c>
      <c r="G33" s="208">
        <v>3.3516350000000004</v>
      </c>
      <c r="H33" s="209" t="s">
        <v>1916</v>
      </c>
      <c r="I33" s="209" t="s">
        <v>182</v>
      </c>
      <c r="J33" s="209" t="s">
        <v>1924</v>
      </c>
      <c r="K33" s="212" t="s">
        <v>2798</v>
      </c>
      <c r="L33" s="209"/>
      <c r="M33" s="208">
        <v>0</v>
      </c>
      <c r="N33" s="208">
        <v>1</v>
      </c>
      <c r="O33" s="208">
        <v>0</v>
      </c>
      <c r="P33" s="208">
        <v>1</v>
      </c>
      <c r="Q33" s="208">
        <v>0</v>
      </c>
      <c r="R33" s="208">
        <v>1</v>
      </c>
      <c r="S33" s="208">
        <v>0</v>
      </c>
      <c r="T33" s="208">
        <v>1</v>
      </c>
      <c r="U33" s="280" t="s">
        <v>2108</v>
      </c>
    </row>
    <row r="34" spans="1:21" x14ac:dyDescent="0.25">
      <c r="A34" s="211" t="s">
        <v>2137</v>
      </c>
      <c r="B34" s="209" t="s">
        <v>2130</v>
      </c>
      <c r="C34" s="209" t="s">
        <v>2138</v>
      </c>
      <c r="D34" s="209" t="s">
        <v>411</v>
      </c>
      <c r="E34" s="209" t="s">
        <v>1914</v>
      </c>
      <c r="F34" s="208">
        <v>4.8500000000000003E-4</v>
      </c>
      <c r="G34" s="208">
        <v>3.3516350000000004</v>
      </c>
      <c r="H34" s="209" t="s">
        <v>1916</v>
      </c>
      <c r="I34" s="209" t="s">
        <v>182</v>
      </c>
      <c r="J34" s="209" t="s">
        <v>1924</v>
      </c>
      <c r="K34" s="212" t="s">
        <v>2798</v>
      </c>
      <c r="L34" s="209"/>
      <c r="M34" s="208">
        <v>0</v>
      </c>
      <c r="N34" s="208">
        <v>1</v>
      </c>
      <c r="O34" s="208">
        <v>0</v>
      </c>
      <c r="P34" s="208">
        <v>1</v>
      </c>
      <c r="Q34" s="208">
        <v>0</v>
      </c>
      <c r="R34" s="208">
        <v>1</v>
      </c>
      <c r="S34" s="208">
        <v>0</v>
      </c>
      <c r="T34" s="208">
        <v>1</v>
      </c>
      <c r="U34" s="280" t="s">
        <v>2108</v>
      </c>
    </row>
    <row r="35" spans="1:21" x14ac:dyDescent="0.25">
      <c r="A35" s="209" t="s">
        <v>942</v>
      </c>
      <c r="B35" s="209" t="s">
        <v>2130</v>
      </c>
      <c r="C35" s="209" t="s">
        <v>2131</v>
      </c>
      <c r="D35" s="209" t="s">
        <v>411</v>
      </c>
      <c r="E35" s="209" t="s">
        <v>1914</v>
      </c>
      <c r="F35" s="208">
        <v>4.8500000000000003E-4</v>
      </c>
      <c r="G35" s="208">
        <v>3.3516350000000004</v>
      </c>
      <c r="H35" s="209" t="s">
        <v>1916</v>
      </c>
      <c r="I35" s="209" t="s">
        <v>182</v>
      </c>
      <c r="J35" s="209" t="s">
        <v>1924</v>
      </c>
      <c r="K35" s="212" t="s">
        <v>2798</v>
      </c>
      <c r="L35" s="209"/>
      <c r="M35" s="208">
        <v>0</v>
      </c>
      <c r="N35" s="208">
        <v>1</v>
      </c>
      <c r="O35" s="208">
        <v>0</v>
      </c>
      <c r="P35" s="208">
        <v>1</v>
      </c>
      <c r="Q35" s="208">
        <v>0</v>
      </c>
      <c r="R35" s="208">
        <v>1</v>
      </c>
      <c r="S35" s="208">
        <v>0</v>
      </c>
      <c r="T35" s="208">
        <v>1</v>
      </c>
      <c r="U35" s="280" t="s">
        <v>2108</v>
      </c>
    </row>
    <row r="36" spans="1:21" x14ac:dyDescent="0.25">
      <c r="A36" s="211" t="s">
        <v>2140</v>
      </c>
      <c r="B36" s="209" t="s">
        <v>2130</v>
      </c>
      <c r="C36" s="209" t="s">
        <v>1911</v>
      </c>
      <c r="D36" s="209" t="s">
        <v>411</v>
      </c>
      <c r="E36" s="209" t="s">
        <v>1914</v>
      </c>
      <c r="F36" s="208">
        <v>4.8500000000000003E-4</v>
      </c>
      <c r="G36" s="208">
        <v>3.3516350000000004</v>
      </c>
      <c r="H36" s="209" t="s">
        <v>1916</v>
      </c>
      <c r="I36" s="209" t="s">
        <v>182</v>
      </c>
      <c r="J36" s="209" t="s">
        <v>1924</v>
      </c>
      <c r="K36" s="212" t="s">
        <v>2798</v>
      </c>
      <c r="L36" s="209"/>
      <c r="M36" s="208">
        <v>0</v>
      </c>
      <c r="N36" s="208">
        <v>1</v>
      </c>
      <c r="O36" s="208">
        <v>0</v>
      </c>
      <c r="P36" s="208">
        <v>1</v>
      </c>
      <c r="Q36" s="208">
        <v>0</v>
      </c>
      <c r="R36" s="208">
        <v>1</v>
      </c>
      <c r="S36" s="208">
        <v>0</v>
      </c>
      <c r="T36" s="208">
        <v>1</v>
      </c>
      <c r="U36" s="280" t="s">
        <v>2108</v>
      </c>
    </row>
    <row r="37" spans="1:21" x14ac:dyDescent="0.25">
      <c r="A37" s="211" t="s">
        <v>2177</v>
      </c>
      <c r="B37" s="209" t="s">
        <v>1911</v>
      </c>
      <c r="C37" s="209" t="s">
        <v>1911</v>
      </c>
      <c r="D37" s="209" t="s">
        <v>411</v>
      </c>
      <c r="E37" s="209" t="s">
        <v>1914</v>
      </c>
      <c r="F37" s="208">
        <v>4.7349999999999996E-3</v>
      </c>
      <c r="G37" s="208">
        <v>4.7349999999999996E-3</v>
      </c>
      <c r="H37" s="209" t="s">
        <v>1916</v>
      </c>
      <c r="I37" s="209" t="s">
        <v>182</v>
      </c>
      <c r="J37" s="209" t="s">
        <v>1924</v>
      </c>
      <c r="K37" s="212" t="s">
        <v>2798</v>
      </c>
      <c r="L37" s="209"/>
      <c r="M37" s="281"/>
      <c r="N37" s="281"/>
      <c r="O37" s="281"/>
      <c r="P37" s="281"/>
      <c r="Q37" s="281"/>
      <c r="R37" s="281"/>
      <c r="S37" s="281"/>
      <c r="T37" s="281"/>
      <c r="U37" s="280" t="s">
        <v>1911</v>
      </c>
    </row>
    <row r="38" spans="1:21" x14ac:dyDescent="0.25">
      <c r="A38" s="211" t="s">
        <v>2152</v>
      </c>
      <c r="B38" s="209" t="s">
        <v>2153</v>
      </c>
      <c r="C38" s="209" t="s">
        <v>1911</v>
      </c>
      <c r="D38" s="209" t="s">
        <v>411</v>
      </c>
      <c r="E38" s="209" t="s">
        <v>1914</v>
      </c>
      <c r="F38" s="208">
        <v>4.7349999999999996E-3</v>
      </c>
      <c r="G38" s="208">
        <v>2.7825000000000002</v>
      </c>
      <c r="H38" s="209" t="s">
        <v>1916</v>
      </c>
      <c r="I38" s="209" t="s">
        <v>182</v>
      </c>
      <c r="J38" s="209" t="s">
        <v>1924</v>
      </c>
      <c r="K38" s="212" t="s">
        <v>2798</v>
      </c>
      <c r="L38" s="209"/>
      <c r="M38" s="208">
        <v>0</v>
      </c>
      <c r="N38" s="208">
        <v>1</v>
      </c>
      <c r="O38" s="208">
        <v>0</v>
      </c>
      <c r="P38" s="208">
        <v>1</v>
      </c>
      <c r="Q38" s="208">
        <v>0</v>
      </c>
      <c r="R38" s="208">
        <v>1</v>
      </c>
      <c r="S38" s="208">
        <v>0</v>
      </c>
      <c r="T38" s="208">
        <v>1</v>
      </c>
      <c r="U38" s="280" t="s">
        <v>2108</v>
      </c>
    </row>
    <row r="39" spans="1:21" x14ac:dyDescent="0.25">
      <c r="A39" s="211" t="s">
        <v>964</v>
      </c>
      <c r="B39" s="209" t="s">
        <v>2153</v>
      </c>
      <c r="C39" s="209" t="s">
        <v>2156</v>
      </c>
      <c r="D39" s="209" t="s">
        <v>411</v>
      </c>
      <c r="E39" s="209" t="s">
        <v>1914</v>
      </c>
      <c r="F39" s="208">
        <v>4.7349999999999996E-3</v>
      </c>
      <c r="G39" s="208">
        <v>2.7825000000000002</v>
      </c>
      <c r="H39" s="209" t="s">
        <v>1916</v>
      </c>
      <c r="I39" s="209" t="s">
        <v>182</v>
      </c>
      <c r="J39" s="209" t="s">
        <v>1924</v>
      </c>
      <c r="K39" s="212" t="s">
        <v>2798</v>
      </c>
      <c r="L39" s="209"/>
      <c r="M39" s="208">
        <v>0</v>
      </c>
      <c r="N39" s="208">
        <v>1</v>
      </c>
      <c r="O39" s="208">
        <v>0</v>
      </c>
      <c r="P39" s="208">
        <v>1</v>
      </c>
      <c r="Q39" s="208">
        <v>0</v>
      </c>
      <c r="R39" s="208">
        <v>1</v>
      </c>
      <c r="S39" s="208">
        <v>0</v>
      </c>
      <c r="T39" s="208">
        <v>1</v>
      </c>
      <c r="U39" s="280" t="s">
        <v>2108</v>
      </c>
    </row>
    <row r="40" spans="1:21" x14ac:dyDescent="0.25">
      <c r="A40" s="211" t="s">
        <v>2154</v>
      </c>
      <c r="B40" s="209" t="s">
        <v>2153</v>
      </c>
      <c r="C40" s="209" t="s">
        <v>2155</v>
      </c>
      <c r="D40" s="209" t="s">
        <v>411</v>
      </c>
      <c r="E40" s="209" t="s">
        <v>1914</v>
      </c>
      <c r="F40" s="208">
        <v>4.7349999999999996E-3</v>
      </c>
      <c r="G40" s="208">
        <v>2.7825000000000002</v>
      </c>
      <c r="H40" s="209" t="s">
        <v>1916</v>
      </c>
      <c r="I40" s="209" t="s">
        <v>182</v>
      </c>
      <c r="J40" s="209" t="s">
        <v>1924</v>
      </c>
      <c r="K40" s="212" t="s">
        <v>2798</v>
      </c>
      <c r="L40" s="209"/>
      <c r="M40" s="208">
        <v>0</v>
      </c>
      <c r="N40" s="208">
        <v>1</v>
      </c>
      <c r="O40" s="208">
        <v>0</v>
      </c>
      <c r="P40" s="208">
        <v>1</v>
      </c>
      <c r="Q40" s="208">
        <v>0</v>
      </c>
      <c r="R40" s="208">
        <v>1</v>
      </c>
      <c r="S40" s="208">
        <v>0</v>
      </c>
      <c r="T40" s="208">
        <v>1</v>
      </c>
      <c r="U40" s="280" t="s">
        <v>2108</v>
      </c>
    </row>
    <row r="41" spans="1:21" x14ac:dyDescent="0.25">
      <c r="A41" s="211" t="s">
        <v>2157</v>
      </c>
      <c r="B41" s="209" t="s">
        <v>2153</v>
      </c>
      <c r="C41" s="209" t="s">
        <v>2155</v>
      </c>
      <c r="D41" s="209" t="s">
        <v>411</v>
      </c>
      <c r="E41" s="209" t="s">
        <v>1914</v>
      </c>
      <c r="F41" s="208">
        <v>4.7349999999999996E-3</v>
      </c>
      <c r="G41" s="208">
        <v>2.7825000000000002</v>
      </c>
      <c r="H41" s="209" t="s">
        <v>1916</v>
      </c>
      <c r="I41" s="209" t="s">
        <v>182</v>
      </c>
      <c r="J41" s="209" t="s">
        <v>1924</v>
      </c>
      <c r="K41" s="212" t="s">
        <v>2798</v>
      </c>
      <c r="L41" s="209"/>
      <c r="M41" s="208">
        <v>0</v>
      </c>
      <c r="N41" s="208">
        <v>1</v>
      </c>
      <c r="O41" s="208">
        <v>0</v>
      </c>
      <c r="P41" s="208">
        <v>1</v>
      </c>
      <c r="Q41" s="208">
        <v>0</v>
      </c>
      <c r="R41" s="208">
        <v>1</v>
      </c>
      <c r="S41" s="208">
        <v>0</v>
      </c>
      <c r="T41" s="208">
        <v>1</v>
      </c>
      <c r="U41" s="280" t="s">
        <v>2108</v>
      </c>
    </row>
    <row r="42" spans="1:21" x14ac:dyDescent="0.25">
      <c r="A42" s="211" t="s">
        <v>2145</v>
      </c>
      <c r="B42" s="209" t="s">
        <v>2130</v>
      </c>
      <c r="C42" s="209" t="s">
        <v>1911</v>
      </c>
      <c r="D42" s="209" t="s">
        <v>411</v>
      </c>
      <c r="E42" s="209" t="s">
        <v>1914</v>
      </c>
      <c r="F42" s="208">
        <v>4.8500000000000003E-4</v>
      </c>
      <c r="G42" s="208">
        <v>3.3516350000000004</v>
      </c>
      <c r="H42" s="209" t="s">
        <v>1916</v>
      </c>
      <c r="I42" s="209" t="s">
        <v>182</v>
      </c>
      <c r="J42" s="209" t="s">
        <v>1924</v>
      </c>
      <c r="K42" s="212" t="s">
        <v>2798</v>
      </c>
      <c r="L42" s="209"/>
      <c r="M42" s="208">
        <v>0</v>
      </c>
      <c r="N42" s="208">
        <v>1</v>
      </c>
      <c r="O42" s="208">
        <v>0</v>
      </c>
      <c r="P42" s="208">
        <v>1</v>
      </c>
      <c r="Q42" s="208">
        <v>0</v>
      </c>
      <c r="R42" s="208">
        <v>1</v>
      </c>
      <c r="S42" s="208">
        <v>0</v>
      </c>
      <c r="T42" s="208">
        <v>1</v>
      </c>
      <c r="U42" s="280" t="s">
        <v>2108</v>
      </c>
    </row>
    <row r="43" spans="1:21" x14ac:dyDescent="0.25">
      <c r="A43" s="211" t="s">
        <v>2146</v>
      </c>
      <c r="B43" s="209" t="s">
        <v>2130</v>
      </c>
      <c r="C43" s="209" t="s">
        <v>2147</v>
      </c>
      <c r="D43" s="209" t="s">
        <v>411</v>
      </c>
      <c r="E43" s="209" t="s">
        <v>1914</v>
      </c>
      <c r="F43" s="208">
        <v>4.8500000000000003E-4</v>
      </c>
      <c r="G43" s="208">
        <v>3.3516350000000004</v>
      </c>
      <c r="H43" s="209" t="s">
        <v>1916</v>
      </c>
      <c r="I43" s="209" t="s">
        <v>182</v>
      </c>
      <c r="J43" s="209" t="s">
        <v>1924</v>
      </c>
      <c r="K43" s="212" t="s">
        <v>2798</v>
      </c>
      <c r="L43" s="209"/>
      <c r="M43" s="208">
        <v>0</v>
      </c>
      <c r="N43" s="208">
        <v>1</v>
      </c>
      <c r="O43" s="208">
        <v>0</v>
      </c>
      <c r="P43" s="208">
        <v>1</v>
      </c>
      <c r="Q43" s="208">
        <v>0</v>
      </c>
      <c r="R43" s="208">
        <v>1</v>
      </c>
      <c r="S43" s="208">
        <v>0</v>
      </c>
      <c r="T43" s="208">
        <v>1</v>
      </c>
      <c r="U43" s="280" t="s">
        <v>2108</v>
      </c>
    </row>
    <row r="44" spans="1:21" x14ac:dyDescent="0.25">
      <c r="A44" s="211" t="s">
        <v>2173</v>
      </c>
      <c r="B44" s="209" t="s">
        <v>2153</v>
      </c>
      <c r="C44" s="209" t="s">
        <v>1911</v>
      </c>
      <c r="D44" s="209" t="s">
        <v>411</v>
      </c>
      <c r="E44" s="209" t="s">
        <v>1914</v>
      </c>
      <c r="F44" s="208">
        <v>4.7349999999999996E-3</v>
      </c>
      <c r="G44" s="208">
        <v>2.7825000000000002</v>
      </c>
      <c r="H44" s="209" t="s">
        <v>1916</v>
      </c>
      <c r="I44" s="209" t="s">
        <v>182</v>
      </c>
      <c r="J44" s="209" t="s">
        <v>1924</v>
      </c>
      <c r="K44" s="212" t="s">
        <v>2798</v>
      </c>
      <c r="L44" s="209"/>
      <c r="M44" s="208">
        <v>0</v>
      </c>
      <c r="N44" s="208">
        <v>1</v>
      </c>
      <c r="O44" s="208">
        <v>0</v>
      </c>
      <c r="P44" s="208">
        <v>1</v>
      </c>
      <c r="Q44" s="208">
        <v>0</v>
      </c>
      <c r="R44" s="208">
        <v>1</v>
      </c>
      <c r="S44" s="208">
        <v>0</v>
      </c>
      <c r="T44" s="208">
        <v>1</v>
      </c>
      <c r="U44" s="280" t="s">
        <v>2108</v>
      </c>
    </row>
    <row r="45" spans="1:21" x14ac:dyDescent="0.25">
      <c r="A45" s="211" t="s">
        <v>926</v>
      </c>
      <c r="B45" s="209" t="s">
        <v>2106</v>
      </c>
      <c r="C45" s="209" t="s">
        <v>2107</v>
      </c>
      <c r="D45" s="209" t="s">
        <v>411</v>
      </c>
      <c r="E45" s="209" t="s">
        <v>1914</v>
      </c>
      <c r="F45" s="208">
        <v>2.2069230769230768E-3</v>
      </c>
      <c r="G45" s="208">
        <v>3.1258976923076918</v>
      </c>
      <c r="H45" s="209" t="s">
        <v>1916</v>
      </c>
      <c r="I45" s="209" t="s">
        <v>182</v>
      </c>
      <c r="J45" s="209" t="s">
        <v>1924</v>
      </c>
      <c r="K45" s="212" t="s">
        <v>2798</v>
      </c>
      <c r="L45" s="209"/>
      <c r="M45" s="208">
        <v>0</v>
      </c>
      <c r="N45" s="208">
        <v>1</v>
      </c>
      <c r="O45" s="208">
        <v>0</v>
      </c>
      <c r="P45" s="208">
        <v>1</v>
      </c>
      <c r="Q45" s="208">
        <v>0</v>
      </c>
      <c r="R45" s="208">
        <v>1</v>
      </c>
      <c r="S45" s="208">
        <v>0</v>
      </c>
      <c r="T45" s="208">
        <v>1</v>
      </c>
      <c r="U45" s="280" t="s">
        <v>2108</v>
      </c>
    </row>
    <row r="46" spans="1:21" x14ac:dyDescent="0.25">
      <c r="A46" s="211" t="s">
        <v>2115</v>
      </c>
      <c r="B46" s="209" t="s">
        <v>2106</v>
      </c>
      <c r="C46" s="209" t="s">
        <v>2116</v>
      </c>
      <c r="D46" s="209" t="s">
        <v>411</v>
      </c>
      <c r="E46" s="209" t="s">
        <v>1914</v>
      </c>
      <c r="F46" s="208">
        <v>2.2069230769230768E-3</v>
      </c>
      <c r="G46" s="208">
        <v>3.1258976923076918</v>
      </c>
      <c r="H46" s="209" t="s">
        <v>1916</v>
      </c>
      <c r="I46" s="209" t="s">
        <v>182</v>
      </c>
      <c r="J46" s="209" t="s">
        <v>1924</v>
      </c>
      <c r="K46" s="212" t="s">
        <v>2798</v>
      </c>
      <c r="L46" s="209"/>
      <c r="M46" s="208">
        <v>0</v>
      </c>
      <c r="N46" s="208">
        <v>1</v>
      </c>
      <c r="O46" s="208">
        <v>0</v>
      </c>
      <c r="P46" s="208">
        <v>1</v>
      </c>
      <c r="Q46" s="208">
        <v>0</v>
      </c>
      <c r="R46" s="208">
        <v>1</v>
      </c>
      <c r="S46" s="208">
        <v>0</v>
      </c>
      <c r="T46" s="208">
        <v>1</v>
      </c>
      <c r="U46" s="280" t="s">
        <v>2108</v>
      </c>
    </row>
    <row r="47" spans="1:21" x14ac:dyDescent="0.25">
      <c r="A47" s="211" t="s">
        <v>928</v>
      </c>
      <c r="B47" s="209" t="s">
        <v>2106</v>
      </c>
      <c r="C47" s="209" t="s">
        <v>2109</v>
      </c>
      <c r="D47" s="209" t="s">
        <v>411</v>
      </c>
      <c r="E47" s="209" t="s">
        <v>1914</v>
      </c>
      <c r="F47" s="208">
        <v>2.2069230769230768E-3</v>
      </c>
      <c r="G47" s="208">
        <v>3.1258976923076918</v>
      </c>
      <c r="H47" s="209" t="s">
        <v>1916</v>
      </c>
      <c r="I47" s="209" t="s">
        <v>182</v>
      </c>
      <c r="J47" s="209" t="s">
        <v>1924</v>
      </c>
      <c r="K47" s="212" t="s">
        <v>2798</v>
      </c>
      <c r="L47" s="209"/>
      <c r="M47" s="208">
        <v>0</v>
      </c>
      <c r="N47" s="208">
        <v>1</v>
      </c>
      <c r="O47" s="208">
        <v>0</v>
      </c>
      <c r="P47" s="208">
        <v>1</v>
      </c>
      <c r="Q47" s="208">
        <v>0</v>
      </c>
      <c r="R47" s="208">
        <v>1</v>
      </c>
      <c r="S47" s="208">
        <v>0</v>
      </c>
      <c r="T47" s="208">
        <v>1</v>
      </c>
      <c r="U47" s="280" t="s">
        <v>2108</v>
      </c>
    </row>
    <row r="48" spans="1:21" x14ac:dyDescent="0.25">
      <c r="A48" s="211" t="s">
        <v>930</v>
      </c>
      <c r="B48" s="209" t="s">
        <v>2106</v>
      </c>
      <c r="C48" s="209" t="s">
        <v>2110</v>
      </c>
      <c r="D48" s="209" t="s">
        <v>411</v>
      </c>
      <c r="E48" s="209" t="s">
        <v>1914</v>
      </c>
      <c r="F48" s="208">
        <v>2.2069230769230768E-3</v>
      </c>
      <c r="G48" s="208">
        <v>3.1258976923076918</v>
      </c>
      <c r="H48" s="209" t="s">
        <v>1916</v>
      </c>
      <c r="I48" s="209" t="s">
        <v>182</v>
      </c>
      <c r="J48" s="209" t="s">
        <v>1924</v>
      </c>
      <c r="K48" s="212" t="s">
        <v>2798</v>
      </c>
      <c r="L48" s="209"/>
      <c r="M48" s="208">
        <v>0</v>
      </c>
      <c r="N48" s="208">
        <v>1</v>
      </c>
      <c r="O48" s="208">
        <v>0</v>
      </c>
      <c r="P48" s="208">
        <v>1</v>
      </c>
      <c r="Q48" s="208">
        <v>0</v>
      </c>
      <c r="R48" s="208">
        <v>1</v>
      </c>
      <c r="S48" s="208">
        <v>0</v>
      </c>
      <c r="T48" s="208">
        <v>1</v>
      </c>
      <c r="U48" s="280" t="s">
        <v>2108</v>
      </c>
    </row>
    <row r="49" spans="1:21" x14ac:dyDescent="0.25">
      <c r="A49" s="211" t="s">
        <v>2111</v>
      </c>
      <c r="B49" s="209" t="s">
        <v>2106</v>
      </c>
      <c r="C49" s="209" t="s">
        <v>2112</v>
      </c>
      <c r="D49" s="209" t="s">
        <v>411</v>
      </c>
      <c r="E49" s="209" t="s">
        <v>1914</v>
      </c>
      <c r="F49" s="208">
        <v>2.2069230769230768E-3</v>
      </c>
      <c r="G49" s="208">
        <v>3.1258976923076918</v>
      </c>
      <c r="H49" s="209" t="s">
        <v>1916</v>
      </c>
      <c r="I49" s="209" t="s">
        <v>182</v>
      </c>
      <c r="J49" s="209" t="s">
        <v>1924</v>
      </c>
      <c r="K49" s="212" t="s">
        <v>2798</v>
      </c>
      <c r="L49" s="209"/>
      <c r="M49" s="208">
        <v>0</v>
      </c>
      <c r="N49" s="208">
        <v>1</v>
      </c>
      <c r="O49" s="208">
        <v>0</v>
      </c>
      <c r="P49" s="208">
        <v>1</v>
      </c>
      <c r="Q49" s="208">
        <v>0</v>
      </c>
      <c r="R49" s="208">
        <v>1</v>
      </c>
      <c r="S49" s="208">
        <v>0</v>
      </c>
      <c r="T49" s="208">
        <v>1</v>
      </c>
      <c r="U49" s="280" t="s">
        <v>2108</v>
      </c>
    </row>
    <row r="50" spans="1:21" x14ac:dyDescent="0.25">
      <c r="A50" s="211" t="s">
        <v>932</v>
      </c>
      <c r="B50" s="209" t="s">
        <v>2106</v>
      </c>
      <c r="C50" s="209" t="s">
        <v>2113</v>
      </c>
      <c r="D50" s="209" t="s">
        <v>411</v>
      </c>
      <c r="E50" s="209" t="s">
        <v>1914</v>
      </c>
      <c r="F50" s="208">
        <v>2.2069230769230768E-3</v>
      </c>
      <c r="G50" s="208">
        <v>3.1258976923076918</v>
      </c>
      <c r="H50" s="209" t="s">
        <v>1916</v>
      </c>
      <c r="I50" s="209" t="s">
        <v>182</v>
      </c>
      <c r="J50" s="209" t="s">
        <v>1924</v>
      </c>
      <c r="K50" s="212" t="s">
        <v>2798</v>
      </c>
      <c r="L50" s="209"/>
      <c r="M50" s="208">
        <v>0</v>
      </c>
      <c r="N50" s="208">
        <v>1</v>
      </c>
      <c r="O50" s="208">
        <v>0</v>
      </c>
      <c r="P50" s="208">
        <v>1</v>
      </c>
      <c r="Q50" s="208">
        <v>0</v>
      </c>
      <c r="R50" s="208">
        <v>1</v>
      </c>
      <c r="S50" s="208">
        <v>0</v>
      </c>
      <c r="T50" s="208">
        <v>1</v>
      </c>
      <c r="U50" s="280" t="s">
        <v>2108</v>
      </c>
    </row>
    <row r="51" spans="1:21" x14ac:dyDescent="0.25">
      <c r="A51" s="211" t="s">
        <v>934</v>
      </c>
      <c r="B51" s="209" t="s">
        <v>2106</v>
      </c>
      <c r="C51" s="209" t="s">
        <v>2114</v>
      </c>
      <c r="D51" s="209" t="s">
        <v>411</v>
      </c>
      <c r="E51" s="209" t="s">
        <v>1914</v>
      </c>
      <c r="F51" s="208">
        <v>2.2069230769230768E-3</v>
      </c>
      <c r="G51" s="208">
        <v>3.1258976923076918</v>
      </c>
      <c r="H51" s="209" t="s">
        <v>1916</v>
      </c>
      <c r="I51" s="209" t="s">
        <v>182</v>
      </c>
      <c r="J51" s="209" t="s">
        <v>1924</v>
      </c>
      <c r="K51" s="212" t="s">
        <v>2798</v>
      </c>
      <c r="L51" s="209"/>
      <c r="M51" s="208">
        <v>0</v>
      </c>
      <c r="N51" s="208">
        <v>1</v>
      </c>
      <c r="O51" s="208">
        <v>0</v>
      </c>
      <c r="P51" s="208">
        <v>1</v>
      </c>
      <c r="Q51" s="208">
        <v>0</v>
      </c>
      <c r="R51" s="208">
        <v>1</v>
      </c>
      <c r="S51" s="208">
        <v>0</v>
      </c>
      <c r="T51" s="208">
        <v>1</v>
      </c>
      <c r="U51" s="280" t="s">
        <v>2108</v>
      </c>
    </row>
    <row r="52" spans="1:21" x14ac:dyDescent="0.25">
      <c r="A52" s="211" t="s">
        <v>946</v>
      </c>
      <c r="B52" s="209" t="s">
        <v>2130</v>
      </c>
      <c r="C52" s="209" t="s">
        <v>2149</v>
      </c>
      <c r="D52" s="209" t="s">
        <v>411</v>
      </c>
      <c r="E52" s="209" t="s">
        <v>1914</v>
      </c>
      <c r="F52" s="208">
        <v>4.8500000000000003E-4</v>
      </c>
      <c r="G52" s="208">
        <v>3.3516350000000004</v>
      </c>
      <c r="H52" s="209" t="s">
        <v>1916</v>
      </c>
      <c r="I52" s="209" t="s">
        <v>182</v>
      </c>
      <c r="J52" s="209" t="s">
        <v>1924</v>
      </c>
      <c r="K52" s="212" t="s">
        <v>2798</v>
      </c>
      <c r="L52" s="209"/>
      <c r="M52" s="208">
        <v>0</v>
      </c>
      <c r="N52" s="208">
        <v>1</v>
      </c>
      <c r="O52" s="208">
        <v>0</v>
      </c>
      <c r="P52" s="208">
        <v>1</v>
      </c>
      <c r="Q52" s="208">
        <v>0</v>
      </c>
      <c r="R52" s="208">
        <v>1</v>
      </c>
      <c r="S52" s="208">
        <v>0</v>
      </c>
      <c r="T52" s="208">
        <v>1</v>
      </c>
      <c r="U52" s="280" t="s">
        <v>2108</v>
      </c>
    </row>
    <row r="53" spans="1:21" x14ac:dyDescent="0.25">
      <c r="A53" s="211" t="s">
        <v>2150</v>
      </c>
      <c r="B53" s="209" t="s">
        <v>2130</v>
      </c>
      <c r="C53" s="209" t="s">
        <v>2151</v>
      </c>
      <c r="D53" s="209" t="s">
        <v>411</v>
      </c>
      <c r="E53" s="209" t="s">
        <v>1914</v>
      </c>
      <c r="F53" s="208">
        <v>4.8500000000000003E-4</v>
      </c>
      <c r="G53" s="208">
        <v>3.3516350000000004</v>
      </c>
      <c r="H53" s="209" t="s">
        <v>1916</v>
      </c>
      <c r="I53" s="209" t="s">
        <v>182</v>
      </c>
      <c r="J53" s="209" t="s">
        <v>1924</v>
      </c>
      <c r="K53" s="212" t="s">
        <v>2798</v>
      </c>
      <c r="L53" s="209"/>
      <c r="M53" s="208">
        <v>0</v>
      </c>
      <c r="N53" s="208">
        <v>1</v>
      </c>
      <c r="O53" s="208">
        <v>0</v>
      </c>
      <c r="P53" s="208">
        <v>1</v>
      </c>
      <c r="Q53" s="208">
        <v>0</v>
      </c>
      <c r="R53" s="208">
        <v>1</v>
      </c>
      <c r="S53" s="208">
        <v>0</v>
      </c>
      <c r="T53" s="208">
        <v>1</v>
      </c>
      <c r="U53" s="280" t="s">
        <v>2108</v>
      </c>
    </row>
    <row r="54" spans="1:21" x14ac:dyDescent="0.25">
      <c r="A54" s="211" t="s">
        <v>2120</v>
      </c>
      <c r="B54" s="209" t="s">
        <v>2121</v>
      </c>
      <c r="C54" s="209" t="s">
        <v>1911</v>
      </c>
      <c r="D54" s="209" t="s">
        <v>411</v>
      </c>
      <c r="E54" s="209" t="s">
        <v>1914</v>
      </c>
      <c r="F54" s="208">
        <v>4.8500000000000003E-4</v>
      </c>
      <c r="G54" s="208">
        <v>3.3516350000000004</v>
      </c>
      <c r="H54" s="209" t="s">
        <v>1916</v>
      </c>
      <c r="I54" s="209" t="s">
        <v>182</v>
      </c>
      <c r="J54" s="209" t="s">
        <v>2782</v>
      </c>
      <c r="K54" s="212" t="s">
        <v>2798</v>
      </c>
      <c r="L54" s="209"/>
      <c r="M54" s="208">
        <v>0</v>
      </c>
      <c r="N54" s="208">
        <v>1</v>
      </c>
      <c r="O54" s="208">
        <v>0</v>
      </c>
      <c r="P54" s="208">
        <v>1</v>
      </c>
      <c r="Q54" s="208">
        <v>0</v>
      </c>
      <c r="R54" s="208">
        <v>1</v>
      </c>
      <c r="S54" s="208">
        <v>0</v>
      </c>
      <c r="T54" s="208">
        <v>1</v>
      </c>
      <c r="U54" s="280" t="s">
        <v>2108</v>
      </c>
    </row>
    <row r="55" spans="1:21" x14ac:dyDescent="0.25">
      <c r="A55" s="211" t="s">
        <v>2031</v>
      </c>
      <c r="B55" s="209" t="s">
        <v>2029</v>
      </c>
      <c r="C55" s="209" t="s">
        <v>2032</v>
      </c>
      <c r="D55" s="209" t="s">
        <v>401</v>
      </c>
      <c r="E55" s="209" t="s">
        <v>1919</v>
      </c>
      <c r="F55" s="208">
        <v>5.481025641025641E-3</v>
      </c>
      <c r="G55" s="208">
        <v>3.2276771794871797</v>
      </c>
      <c r="H55" s="209" t="s">
        <v>1916</v>
      </c>
      <c r="I55" s="209" t="s">
        <v>182</v>
      </c>
      <c r="J55" s="209" t="s">
        <v>1924</v>
      </c>
      <c r="K55" s="212" t="s">
        <v>2798</v>
      </c>
      <c r="L55" s="209"/>
      <c r="M55" s="208">
        <v>0</v>
      </c>
      <c r="N55" s="208">
        <v>1.151</v>
      </c>
      <c r="O55" s="208">
        <v>0</v>
      </c>
      <c r="P55" s="208">
        <v>1.2490000000000001</v>
      </c>
      <c r="Q55" s="208">
        <v>0</v>
      </c>
      <c r="R55" s="208">
        <v>0.80064051240992784</v>
      </c>
      <c r="S55" s="208">
        <v>0</v>
      </c>
      <c r="T55" s="208">
        <v>0.86880973066898348</v>
      </c>
      <c r="U55" s="280" t="s">
        <v>2030</v>
      </c>
    </row>
    <row r="56" spans="1:21" x14ac:dyDescent="0.25">
      <c r="A56" s="211" t="s">
        <v>2037</v>
      </c>
      <c r="B56" s="209" t="s">
        <v>2029</v>
      </c>
      <c r="C56" s="209" t="s">
        <v>2038</v>
      </c>
      <c r="D56" s="209" t="s">
        <v>401</v>
      </c>
      <c r="E56" s="209" t="s">
        <v>1919</v>
      </c>
      <c r="F56" s="208">
        <v>5.481025641025641E-3</v>
      </c>
      <c r="G56" s="208">
        <v>3.2276771794871797</v>
      </c>
      <c r="H56" s="209" t="s">
        <v>1916</v>
      </c>
      <c r="I56" s="209" t="s">
        <v>182</v>
      </c>
      <c r="J56" s="209" t="s">
        <v>1924</v>
      </c>
      <c r="K56" s="212" t="s">
        <v>2798</v>
      </c>
      <c r="L56" s="209"/>
      <c r="M56" s="208">
        <v>0</v>
      </c>
      <c r="N56" s="208">
        <v>1.151</v>
      </c>
      <c r="O56" s="208">
        <v>0</v>
      </c>
      <c r="P56" s="208">
        <v>1.2490000000000001</v>
      </c>
      <c r="Q56" s="208">
        <v>0</v>
      </c>
      <c r="R56" s="208">
        <v>0.80064051240992784</v>
      </c>
      <c r="S56" s="208">
        <v>0</v>
      </c>
      <c r="T56" s="208">
        <v>0.86880973066898348</v>
      </c>
      <c r="U56" s="280" t="s">
        <v>2030</v>
      </c>
    </row>
    <row r="57" spans="1:21" x14ac:dyDescent="0.25">
      <c r="A57" s="211" t="s">
        <v>1024</v>
      </c>
      <c r="B57" s="209" t="s">
        <v>2029</v>
      </c>
      <c r="C57" s="209" t="s">
        <v>2033</v>
      </c>
      <c r="D57" s="209" t="s">
        <v>401</v>
      </c>
      <c r="E57" s="209" t="s">
        <v>1919</v>
      </c>
      <c r="F57" s="208">
        <v>5.481025641025641E-3</v>
      </c>
      <c r="G57" s="208">
        <v>3.2276771794871797</v>
      </c>
      <c r="H57" s="209" t="s">
        <v>1916</v>
      </c>
      <c r="I57" s="209" t="s">
        <v>182</v>
      </c>
      <c r="J57" s="209" t="s">
        <v>1924</v>
      </c>
      <c r="K57" s="212" t="s">
        <v>2798</v>
      </c>
      <c r="L57" s="209"/>
      <c r="M57" s="208">
        <v>0</v>
      </c>
      <c r="N57" s="208">
        <v>1.151</v>
      </c>
      <c r="O57" s="208">
        <v>0</v>
      </c>
      <c r="P57" s="208">
        <v>1.2490000000000001</v>
      </c>
      <c r="Q57" s="208">
        <v>0</v>
      </c>
      <c r="R57" s="208">
        <v>0.80064051240992784</v>
      </c>
      <c r="S57" s="208">
        <v>0</v>
      </c>
      <c r="T57" s="208">
        <v>0.86880973066898348</v>
      </c>
      <c r="U57" s="280" t="s">
        <v>2030</v>
      </c>
    </row>
    <row r="58" spans="1:21" x14ac:dyDescent="0.25">
      <c r="A58" s="211" t="s">
        <v>1028</v>
      </c>
      <c r="B58" s="209" t="s">
        <v>2029</v>
      </c>
      <c r="C58" s="209" t="s">
        <v>2034</v>
      </c>
      <c r="D58" s="209" t="s">
        <v>401</v>
      </c>
      <c r="E58" s="209" t="s">
        <v>1919</v>
      </c>
      <c r="F58" s="208">
        <v>5.481025641025641E-3</v>
      </c>
      <c r="G58" s="208">
        <v>3.2276771794871797</v>
      </c>
      <c r="H58" s="209" t="s">
        <v>1916</v>
      </c>
      <c r="I58" s="209" t="s">
        <v>182</v>
      </c>
      <c r="J58" s="209" t="s">
        <v>1924</v>
      </c>
      <c r="K58" s="212" t="s">
        <v>2798</v>
      </c>
      <c r="L58" s="209"/>
      <c r="M58" s="208">
        <v>0</v>
      </c>
      <c r="N58" s="208">
        <v>1.151</v>
      </c>
      <c r="O58" s="208">
        <v>0</v>
      </c>
      <c r="P58" s="208">
        <v>1.2490000000000001</v>
      </c>
      <c r="Q58" s="208">
        <v>0</v>
      </c>
      <c r="R58" s="208">
        <v>0.80064051240992784</v>
      </c>
      <c r="S58" s="208">
        <v>0</v>
      </c>
      <c r="T58" s="208">
        <v>0.86880973066898348</v>
      </c>
      <c r="U58" s="280" t="s">
        <v>2030</v>
      </c>
    </row>
    <row r="59" spans="1:21" x14ac:dyDescent="0.25">
      <c r="A59" s="211" t="s">
        <v>1030</v>
      </c>
      <c r="B59" s="209" t="s">
        <v>2029</v>
      </c>
      <c r="C59" s="209" t="s">
        <v>2039</v>
      </c>
      <c r="D59" s="209" t="s">
        <v>401</v>
      </c>
      <c r="E59" s="209" t="s">
        <v>1919</v>
      </c>
      <c r="F59" s="208">
        <v>5.481025641025641E-3</v>
      </c>
      <c r="G59" s="208">
        <v>3.2276771794871797</v>
      </c>
      <c r="H59" s="209" t="s">
        <v>1916</v>
      </c>
      <c r="I59" s="209" t="s">
        <v>182</v>
      </c>
      <c r="J59" s="209" t="s">
        <v>1924</v>
      </c>
      <c r="K59" s="212" t="s">
        <v>2798</v>
      </c>
      <c r="L59" s="209"/>
      <c r="M59" s="208">
        <v>0</v>
      </c>
      <c r="N59" s="208">
        <v>1.151</v>
      </c>
      <c r="O59" s="208">
        <v>0</v>
      </c>
      <c r="P59" s="208">
        <v>1.2490000000000001</v>
      </c>
      <c r="Q59" s="208">
        <v>0</v>
      </c>
      <c r="R59" s="208">
        <v>0.80064051240992784</v>
      </c>
      <c r="S59" s="208">
        <v>0</v>
      </c>
      <c r="T59" s="208">
        <v>0.86880973066898348</v>
      </c>
      <c r="U59" s="280" t="s">
        <v>2030</v>
      </c>
    </row>
    <row r="60" spans="1:21" x14ac:dyDescent="0.25">
      <c r="A60" s="211" t="s">
        <v>1026</v>
      </c>
      <c r="B60" s="209" t="s">
        <v>2029</v>
      </c>
      <c r="C60" s="209" t="s">
        <v>2035</v>
      </c>
      <c r="D60" s="209" t="s">
        <v>401</v>
      </c>
      <c r="E60" s="209" t="s">
        <v>1919</v>
      </c>
      <c r="F60" s="208">
        <v>5.481025641025641E-3</v>
      </c>
      <c r="G60" s="208">
        <v>3.2276771794871797</v>
      </c>
      <c r="H60" s="209" t="s">
        <v>1916</v>
      </c>
      <c r="I60" s="209" t="s">
        <v>182</v>
      </c>
      <c r="J60" s="209" t="s">
        <v>1924</v>
      </c>
      <c r="K60" s="212" t="s">
        <v>2798</v>
      </c>
      <c r="L60" s="209"/>
      <c r="M60" s="281"/>
      <c r="N60" s="281"/>
      <c r="O60" s="208">
        <v>0.41399999999999998</v>
      </c>
      <c r="P60" s="208">
        <v>1.1259999999999999</v>
      </c>
      <c r="Q60" s="208">
        <v>-0.3676731793960924</v>
      </c>
      <c r="R60" s="208">
        <v>0.88809946714031984</v>
      </c>
      <c r="S60" s="281"/>
      <c r="T60" s="281"/>
      <c r="U60" s="280" t="s">
        <v>2036</v>
      </c>
    </row>
    <row r="61" spans="1:21" x14ac:dyDescent="0.25">
      <c r="A61" s="211" t="s">
        <v>2040</v>
      </c>
      <c r="B61" s="209" t="s">
        <v>2029</v>
      </c>
      <c r="C61" s="209" t="s">
        <v>2041</v>
      </c>
      <c r="D61" s="209" t="s">
        <v>401</v>
      </c>
      <c r="E61" s="209" t="s">
        <v>1919</v>
      </c>
      <c r="F61" s="208">
        <v>5.481025641025641E-3</v>
      </c>
      <c r="G61" s="208">
        <v>3.2276771794871797</v>
      </c>
      <c r="H61" s="209" t="s">
        <v>1916</v>
      </c>
      <c r="I61" s="209" t="s">
        <v>182</v>
      </c>
      <c r="J61" s="209" t="s">
        <v>1924</v>
      </c>
      <c r="K61" s="212" t="s">
        <v>2798</v>
      </c>
      <c r="L61" s="209"/>
      <c r="M61" s="208">
        <v>0</v>
      </c>
      <c r="N61" s="208">
        <v>1.151</v>
      </c>
      <c r="O61" s="208">
        <v>0</v>
      </c>
      <c r="P61" s="208">
        <v>1.2490000000000001</v>
      </c>
      <c r="Q61" s="208">
        <v>0</v>
      </c>
      <c r="R61" s="208">
        <v>0.80064051240992784</v>
      </c>
      <c r="S61" s="208">
        <v>0</v>
      </c>
      <c r="T61" s="208">
        <v>0.86880973066898348</v>
      </c>
      <c r="U61" s="280" t="s">
        <v>2030</v>
      </c>
    </row>
    <row r="62" spans="1:21" x14ac:dyDescent="0.25">
      <c r="A62" s="211" t="s">
        <v>2043</v>
      </c>
      <c r="B62" s="209" t="s">
        <v>2029</v>
      </c>
      <c r="C62" s="209" t="s">
        <v>2044</v>
      </c>
      <c r="D62" s="209" t="s">
        <v>401</v>
      </c>
      <c r="E62" s="209" t="s">
        <v>1919</v>
      </c>
      <c r="F62" s="208">
        <v>5.481025641025641E-3</v>
      </c>
      <c r="G62" s="208">
        <v>3.2276771794871797</v>
      </c>
      <c r="H62" s="209" t="s">
        <v>1916</v>
      </c>
      <c r="I62" s="209" t="s">
        <v>182</v>
      </c>
      <c r="J62" s="209" t="s">
        <v>1924</v>
      </c>
      <c r="K62" s="212" t="s">
        <v>2798</v>
      </c>
      <c r="L62" s="209"/>
      <c r="M62" s="208">
        <v>0</v>
      </c>
      <c r="N62" s="208">
        <v>1.151</v>
      </c>
      <c r="O62" s="208">
        <v>0</v>
      </c>
      <c r="P62" s="208">
        <v>1.2490000000000001</v>
      </c>
      <c r="Q62" s="208">
        <v>0</v>
      </c>
      <c r="R62" s="208">
        <v>0.80064051240992784</v>
      </c>
      <c r="S62" s="208">
        <v>0</v>
      </c>
      <c r="T62" s="208">
        <v>0.86880973066898348</v>
      </c>
      <c r="U62" s="280" t="s">
        <v>2030</v>
      </c>
    </row>
    <row r="63" spans="1:21" x14ac:dyDescent="0.25">
      <c r="A63" s="209" t="s">
        <v>1020</v>
      </c>
      <c r="B63" s="209" t="s">
        <v>2029</v>
      </c>
      <c r="C63" s="209" t="s">
        <v>401</v>
      </c>
      <c r="D63" s="209" t="s">
        <v>401</v>
      </c>
      <c r="E63" s="209" t="s">
        <v>1919</v>
      </c>
      <c r="F63" s="208">
        <v>5.481025641025641E-3</v>
      </c>
      <c r="G63" s="208">
        <v>3.2276771794871797</v>
      </c>
      <c r="H63" s="209" t="s">
        <v>1916</v>
      </c>
      <c r="I63" s="209" t="s">
        <v>182</v>
      </c>
      <c r="J63" s="209" t="s">
        <v>1924</v>
      </c>
      <c r="K63" s="212" t="s">
        <v>2798</v>
      </c>
      <c r="L63" s="209"/>
      <c r="M63" s="208">
        <v>0</v>
      </c>
      <c r="N63" s="208">
        <v>1.151</v>
      </c>
      <c r="O63" s="208">
        <v>0</v>
      </c>
      <c r="P63" s="208">
        <v>1.2490000000000001</v>
      </c>
      <c r="Q63" s="208">
        <v>0</v>
      </c>
      <c r="R63" s="208">
        <v>0.80064051240992784</v>
      </c>
      <c r="S63" s="208">
        <v>0</v>
      </c>
      <c r="T63" s="208">
        <v>0.86880973066898348</v>
      </c>
      <c r="U63" s="280" t="s">
        <v>2030</v>
      </c>
    </row>
    <row r="64" spans="1:21" x14ac:dyDescent="0.25">
      <c r="A64" s="211" t="s">
        <v>2122</v>
      </c>
      <c r="B64" s="209" t="s">
        <v>2121</v>
      </c>
      <c r="C64" s="209" t="s">
        <v>2123</v>
      </c>
      <c r="D64" s="209" t="s">
        <v>411</v>
      </c>
      <c r="E64" s="209" t="s">
        <v>1914</v>
      </c>
      <c r="F64" s="208">
        <v>4.8500000000000003E-4</v>
      </c>
      <c r="G64" s="208">
        <v>3.3516350000000004</v>
      </c>
      <c r="H64" s="209" t="s">
        <v>1916</v>
      </c>
      <c r="I64" s="209" t="s">
        <v>182</v>
      </c>
      <c r="J64" s="209" t="s">
        <v>2782</v>
      </c>
      <c r="K64" s="212" t="s">
        <v>2798</v>
      </c>
      <c r="L64" s="209"/>
      <c r="M64" s="208">
        <v>0</v>
      </c>
      <c r="N64" s="208">
        <v>1</v>
      </c>
      <c r="O64" s="208">
        <v>0</v>
      </c>
      <c r="P64" s="208">
        <v>1</v>
      </c>
      <c r="Q64" s="208">
        <v>0</v>
      </c>
      <c r="R64" s="208">
        <v>1</v>
      </c>
      <c r="S64" s="208">
        <v>0</v>
      </c>
      <c r="T64" s="208">
        <v>1</v>
      </c>
      <c r="U64" s="280" t="s">
        <v>2108</v>
      </c>
    </row>
    <row r="65" spans="1:21" x14ac:dyDescent="0.25">
      <c r="A65" s="211" t="s">
        <v>940</v>
      </c>
      <c r="B65" s="209" t="s">
        <v>2121</v>
      </c>
      <c r="C65" s="209" t="s">
        <v>2124</v>
      </c>
      <c r="D65" s="209" t="s">
        <v>411</v>
      </c>
      <c r="E65" s="209" t="s">
        <v>1914</v>
      </c>
      <c r="F65" s="208">
        <v>4.8500000000000003E-4</v>
      </c>
      <c r="G65" s="208">
        <v>3.3516350000000004</v>
      </c>
      <c r="H65" s="209" t="s">
        <v>1916</v>
      </c>
      <c r="I65" s="209" t="s">
        <v>182</v>
      </c>
      <c r="J65" s="209" t="s">
        <v>2782</v>
      </c>
      <c r="K65" s="212" t="s">
        <v>2798</v>
      </c>
      <c r="L65" s="209"/>
      <c r="M65" s="208">
        <v>0</v>
      </c>
      <c r="N65" s="208">
        <v>1</v>
      </c>
      <c r="O65" s="208">
        <v>0</v>
      </c>
      <c r="P65" s="208">
        <v>1</v>
      </c>
      <c r="Q65" s="208">
        <v>0</v>
      </c>
      <c r="R65" s="208">
        <v>1</v>
      </c>
      <c r="S65" s="208">
        <v>0</v>
      </c>
      <c r="T65" s="208">
        <v>1</v>
      </c>
      <c r="U65" s="280" t="s">
        <v>2108</v>
      </c>
    </row>
    <row r="66" spans="1:21" x14ac:dyDescent="0.25">
      <c r="A66" s="211" t="s">
        <v>2125</v>
      </c>
      <c r="B66" s="209" t="s">
        <v>2121</v>
      </c>
      <c r="C66" s="209" t="s">
        <v>2126</v>
      </c>
      <c r="D66" s="209" t="s">
        <v>411</v>
      </c>
      <c r="E66" s="209" t="s">
        <v>1914</v>
      </c>
      <c r="F66" s="208">
        <v>4.8500000000000003E-4</v>
      </c>
      <c r="G66" s="208">
        <v>3.3516350000000004</v>
      </c>
      <c r="H66" s="209" t="s">
        <v>1916</v>
      </c>
      <c r="I66" s="209" t="s">
        <v>182</v>
      </c>
      <c r="J66" s="209" t="s">
        <v>2782</v>
      </c>
      <c r="K66" s="212" t="s">
        <v>2798</v>
      </c>
      <c r="L66" s="209"/>
      <c r="M66" s="208">
        <v>0</v>
      </c>
      <c r="N66" s="208">
        <v>1</v>
      </c>
      <c r="O66" s="208">
        <v>0</v>
      </c>
      <c r="P66" s="208">
        <v>1</v>
      </c>
      <c r="Q66" s="208">
        <v>0</v>
      </c>
      <c r="R66" s="208">
        <v>1</v>
      </c>
      <c r="S66" s="208">
        <v>0</v>
      </c>
      <c r="T66" s="208">
        <v>1</v>
      </c>
      <c r="U66" s="280" t="s">
        <v>2108</v>
      </c>
    </row>
    <row r="67" spans="1:21" x14ac:dyDescent="0.25">
      <c r="A67" s="211" t="s">
        <v>938</v>
      </c>
      <c r="B67" s="209" t="s">
        <v>2106</v>
      </c>
      <c r="C67" s="209" t="s">
        <v>2117</v>
      </c>
      <c r="D67" s="209" t="s">
        <v>411</v>
      </c>
      <c r="E67" s="209" t="s">
        <v>1914</v>
      </c>
      <c r="F67" s="208">
        <v>2.2069230769230768E-3</v>
      </c>
      <c r="G67" s="208">
        <v>3.1258976923076918</v>
      </c>
      <c r="H67" s="209" t="s">
        <v>1916</v>
      </c>
      <c r="I67" s="209" t="s">
        <v>182</v>
      </c>
      <c r="J67" s="209" t="s">
        <v>1924</v>
      </c>
      <c r="K67" s="212" t="s">
        <v>2798</v>
      </c>
      <c r="L67" s="209"/>
      <c r="M67" s="208">
        <v>0</v>
      </c>
      <c r="N67" s="208">
        <v>1</v>
      </c>
      <c r="O67" s="208">
        <v>0</v>
      </c>
      <c r="P67" s="208">
        <v>1</v>
      </c>
      <c r="Q67" s="208">
        <v>0</v>
      </c>
      <c r="R67" s="208">
        <v>1</v>
      </c>
      <c r="S67" s="208">
        <v>0</v>
      </c>
      <c r="T67" s="208">
        <v>1</v>
      </c>
      <c r="U67" s="280" t="s">
        <v>2108</v>
      </c>
    </row>
    <row r="68" spans="1:21" x14ac:dyDescent="0.25">
      <c r="A68" s="211" t="s">
        <v>2174</v>
      </c>
      <c r="B68" s="209" t="s">
        <v>2153</v>
      </c>
      <c r="C68" s="209" t="s">
        <v>2175</v>
      </c>
      <c r="D68" s="209" t="s">
        <v>411</v>
      </c>
      <c r="E68" s="209" t="s">
        <v>1914</v>
      </c>
      <c r="F68" s="208">
        <v>4.7349999999999996E-3</v>
      </c>
      <c r="G68" s="208">
        <v>2.7825000000000002</v>
      </c>
      <c r="H68" s="209" t="s">
        <v>1916</v>
      </c>
      <c r="I68" s="209" t="s">
        <v>182</v>
      </c>
      <c r="J68" s="209" t="s">
        <v>1924</v>
      </c>
      <c r="K68" s="212" t="s">
        <v>2798</v>
      </c>
      <c r="L68" s="209"/>
      <c r="M68" s="208">
        <v>0</v>
      </c>
      <c r="N68" s="208">
        <v>1</v>
      </c>
      <c r="O68" s="208">
        <v>0</v>
      </c>
      <c r="P68" s="208">
        <v>1</v>
      </c>
      <c r="Q68" s="208">
        <v>0</v>
      </c>
      <c r="R68" s="208">
        <v>1</v>
      </c>
      <c r="S68" s="208">
        <v>0</v>
      </c>
      <c r="T68" s="208">
        <v>1</v>
      </c>
      <c r="U68" s="280" t="s">
        <v>2108</v>
      </c>
    </row>
    <row r="69" spans="1:21" x14ac:dyDescent="0.25">
      <c r="A69" s="211" t="s">
        <v>962</v>
      </c>
      <c r="B69" s="209" t="s">
        <v>2153</v>
      </c>
      <c r="C69" s="209" t="s">
        <v>2176</v>
      </c>
      <c r="D69" s="209" t="s">
        <v>411</v>
      </c>
      <c r="E69" s="209" t="s">
        <v>1914</v>
      </c>
      <c r="F69" s="208">
        <v>4.7349999999999996E-3</v>
      </c>
      <c r="G69" s="208">
        <v>2.7825000000000002</v>
      </c>
      <c r="H69" s="209" t="s">
        <v>1916</v>
      </c>
      <c r="I69" s="209" t="s">
        <v>182</v>
      </c>
      <c r="J69" s="209" t="s">
        <v>1924</v>
      </c>
      <c r="K69" s="212" t="s">
        <v>2798</v>
      </c>
      <c r="L69" s="209"/>
      <c r="M69" s="208">
        <v>0</v>
      </c>
      <c r="N69" s="208">
        <v>1</v>
      </c>
      <c r="O69" s="208">
        <v>0</v>
      </c>
      <c r="P69" s="208">
        <v>1</v>
      </c>
      <c r="Q69" s="208">
        <v>0</v>
      </c>
      <c r="R69" s="208">
        <v>1</v>
      </c>
      <c r="S69" s="208">
        <v>0</v>
      </c>
      <c r="T69" s="208">
        <v>1</v>
      </c>
      <c r="U69" s="280" t="s">
        <v>2108</v>
      </c>
    </row>
    <row r="70" spans="1:21" x14ac:dyDescent="0.25">
      <c r="A70" s="209" t="s">
        <v>2127</v>
      </c>
      <c r="B70" s="209" t="s">
        <v>2121</v>
      </c>
      <c r="C70" s="209" t="s">
        <v>2128</v>
      </c>
      <c r="D70" s="209" t="s">
        <v>411</v>
      </c>
      <c r="E70" s="209" t="s">
        <v>1914</v>
      </c>
      <c r="F70" s="208">
        <v>4.8500000000000003E-4</v>
      </c>
      <c r="G70" s="208">
        <v>3.3516350000000004</v>
      </c>
      <c r="H70" s="209" t="s">
        <v>1916</v>
      </c>
      <c r="I70" s="209" t="s">
        <v>182</v>
      </c>
      <c r="J70" s="209" t="s">
        <v>2782</v>
      </c>
      <c r="K70" s="212" t="s">
        <v>2798</v>
      </c>
      <c r="L70" s="209"/>
      <c r="M70" s="208">
        <v>0</v>
      </c>
      <c r="N70" s="208">
        <v>1</v>
      </c>
      <c r="O70" s="208">
        <v>0</v>
      </c>
      <c r="P70" s="208">
        <v>1</v>
      </c>
      <c r="Q70" s="208">
        <v>0</v>
      </c>
      <c r="R70" s="208">
        <v>1</v>
      </c>
      <c r="S70" s="208">
        <v>0</v>
      </c>
      <c r="T70" s="208">
        <v>1</v>
      </c>
      <c r="U70" s="280" t="s">
        <v>2108</v>
      </c>
    </row>
    <row r="71" spans="1:21" x14ac:dyDescent="0.25">
      <c r="A71" s="211" t="s">
        <v>2158</v>
      </c>
      <c r="B71" s="209" t="s">
        <v>2153</v>
      </c>
      <c r="C71" s="209" t="s">
        <v>2159</v>
      </c>
      <c r="D71" s="209" t="s">
        <v>411</v>
      </c>
      <c r="E71" s="209" t="s">
        <v>1914</v>
      </c>
      <c r="F71" s="208">
        <v>4.7349999999999996E-3</v>
      </c>
      <c r="G71" s="208">
        <v>2.7825000000000002</v>
      </c>
      <c r="H71" s="209" t="s">
        <v>1916</v>
      </c>
      <c r="I71" s="209" t="s">
        <v>182</v>
      </c>
      <c r="J71" s="209" t="s">
        <v>1924</v>
      </c>
      <c r="K71" s="212" t="s">
        <v>2798</v>
      </c>
      <c r="L71" s="209"/>
      <c r="M71" s="208">
        <v>0</v>
      </c>
      <c r="N71" s="208">
        <v>1</v>
      </c>
      <c r="O71" s="208">
        <v>0</v>
      </c>
      <c r="P71" s="208">
        <v>1</v>
      </c>
      <c r="Q71" s="208">
        <v>0</v>
      </c>
      <c r="R71" s="208">
        <v>1</v>
      </c>
      <c r="S71" s="208">
        <v>0</v>
      </c>
      <c r="T71" s="208">
        <v>1</v>
      </c>
      <c r="U71" s="280" t="s">
        <v>2108</v>
      </c>
    </row>
    <row r="72" spans="1:21" x14ac:dyDescent="0.25">
      <c r="A72" s="211" t="s">
        <v>2169</v>
      </c>
      <c r="B72" s="209" t="s">
        <v>2153</v>
      </c>
      <c r="C72" s="209" t="s">
        <v>2170</v>
      </c>
      <c r="D72" s="209" t="s">
        <v>411</v>
      </c>
      <c r="E72" s="209" t="s">
        <v>1914</v>
      </c>
      <c r="F72" s="208">
        <v>4.7349999999999996E-3</v>
      </c>
      <c r="G72" s="208">
        <v>2.7825000000000002</v>
      </c>
      <c r="H72" s="209" t="s">
        <v>1916</v>
      </c>
      <c r="I72" s="209" t="s">
        <v>182</v>
      </c>
      <c r="J72" s="209" t="s">
        <v>1924</v>
      </c>
      <c r="K72" s="212" t="s">
        <v>2798</v>
      </c>
      <c r="L72" s="209"/>
      <c r="M72" s="208">
        <v>0</v>
      </c>
      <c r="N72" s="208">
        <v>1</v>
      </c>
      <c r="O72" s="208">
        <v>0</v>
      </c>
      <c r="P72" s="208">
        <v>1</v>
      </c>
      <c r="Q72" s="208">
        <v>0</v>
      </c>
      <c r="R72" s="208">
        <v>1</v>
      </c>
      <c r="S72" s="208">
        <v>0</v>
      </c>
      <c r="T72" s="208">
        <v>1</v>
      </c>
      <c r="U72" s="280" t="s">
        <v>2108</v>
      </c>
    </row>
    <row r="73" spans="1:21" x14ac:dyDescent="0.25">
      <c r="A73" s="211" t="s">
        <v>2160</v>
      </c>
      <c r="B73" s="209" t="s">
        <v>2153</v>
      </c>
      <c r="C73" s="209" t="s">
        <v>2161</v>
      </c>
      <c r="D73" s="209" t="s">
        <v>411</v>
      </c>
      <c r="E73" s="209" t="s">
        <v>1914</v>
      </c>
      <c r="F73" s="208">
        <v>4.7349999999999996E-3</v>
      </c>
      <c r="G73" s="208">
        <v>2.7825000000000002</v>
      </c>
      <c r="H73" s="209" t="s">
        <v>1916</v>
      </c>
      <c r="I73" s="209" t="s">
        <v>182</v>
      </c>
      <c r="J73" s="209" t="s">
        <v>1924</v>
      </c>
      <c r="K73" s="212" t="s">
        <v>2798</v>
      </c>
      <c r="L73" s="209"/>
      <c r="M73" s="208">
        <v>0</v>
      </c>
      <c r="N73" s="208">
        <v>1</v>
      </c>
      <c r="O73" s="208">
        <v>0</v>
      </c>
      <c r="P73" s="208">
        <v>1</v>
      </c>
      <c r="Q73" s="208">
        <v>0</v>
      </c>
      <c r="R73" s="208">
        <v>1</v>
      </c>
      <c r="S73" s="208">
        <v>0</v>
      </c>
      <c r="T73" s="208">
        <v>1</v>
      </c>
      <c r="U73" s="280" t="s">
        <v>2108</v>
      </c>
    </row>
    <row r="74" spans="1:21" x14ac:dyDescent="0.25">
      <c r="A74" s="211" t="s">
        <v>2164</v>
      </c>
      <c r="B74" s="209" t="s">
        <v>2153</v>
      </c>
      <c r="C74" s="209" t="s">
        <v>2165</v>
      </c>
      <c r="D74" s="209" t="s">
        <v>411</v>
      </c>
      <c r="E74" s="209" t="s">
        <v>1914</v>
      </c>
      <c r="F74" s="208">
        <v>4.7349999999999996E-3</v>
      </c>
      <c r="G74" s="208">
        <v>2.7825000000000002</v>
      </c>
      <c r="H74" s="209" t="s">
        <v>1916</v>
      </c>
      <c r="I74" s="209" t="s">
        <v>182</v>
      </c>
      <c r="J74" s="209" t="s">
        <v>1924</v>
      </c>
      <c r="K74" s="212" t="s">
        <v>2798</v>
      </c>
      <c r="L74" s="209"/>
      <c r="M74" s="208">
        <v>0</v>
      </c>
      <c r="N74" s="208">
        <v>1</v>
      </c>
      <c r="O74" s="208">
        <v>0</v>
      </c>
      <c r="P74" s="208">
        <v>1</v>
      </c>
      <c r="Q74" s="208">
        <v>0</v>
      </c>
      <c r="R74" s="208">
        <v>1</v>
      </c>
      <c r="S74" s="208">
        <v>0</v>
      </c>
      <c r="T74" s="208">
        <v>1</v>
      </c>
      <c r="U74" s="280" t="s">
        <v>2108</v>
      </c>
    </row>
    <row r="75" spans="1:21" x14ac:dyDescent="0.25">
      <c r="A75" s="211" t="s">
        <v>970</v>
      </c>
      <c r="B75" s="209" t="s">
        <v>2153</v>
      </c>
      <c r="C75" s="209" t="s">
        <v>2166</v>
      </c>
      <c r="D75" s="209" t="s">
        <v>411</v>
      </c>
      <c r="E75" s="209" t="s">
        <v>1914</v>
      </c>
      <c r="F75" s="208">
        <v>4.7349999999999996E-3</v>
      </c>
      <c r="G75" s="208">
        <v>2.7825000000000002</v>
      </c>
      <c r="H75" s="209" t="s">
        <v>1916</v>
      </c>
      <c r="I75" s="209" t="s">
        <v>182</v>
      </c>
      <c r="J75" s="209" t="s">
        <v>1924</v>
      </c>
      <c r="K75" s="212" t="s">
        <v>2798</v>
      </c>
      <c r="L75" s="209"/>
      <c r="M75" s="208">
        <v>0</v>
      </c>
      <c r="N75" s="208">
        <v>1</v>
      </c>
      <c r="O75" s="208">
        <v>0</v>
      </c>
      <c r="P75" s="208">
        <v>1</v>
      </c>
      <c r="Q75" s="208">
        <v>0</v>
      </c>
      <c r="R75" s="208">
        <v>1</v>
      </c>
      <c r="S75" s="208">
        <v>0</v>
      </c>
      <c r="T75" s="208">
        <v>1</v>
      </c>
      <c r="U75" s="280" t="s">
        <v>2108</v>
      </c>
    </row>
    <row r="76" spans="1:21" x14ac:dyDescent="0.25">
      <c r="A76" s="211" t="s">
        <v>2162</v>
      </c>
      <c r="B76" s="209" t="s">
        <v>2153</v>
      </c>
      <c r="C76" s="209" t="s">
        <v>2163</v>
      </c>
      <c r="D76" s="209" t="s">
        <v>411</v>
      </c>
      <c r="E76" s="209" t="s">
        <v>1914</v>
      </c>
      <c r="F76" s="208">
        <v>4.7349999999999996E-3</v>
      </c>
      <c r="G76" s="208">
        <v>2.7825000000000002</v>
      </c>
      <c r="H76" s="209" t="s">
        <v>1916</v>
      </c>
      <c r="I76" s="209" t="s">
        <v>182</v>
      </c>
      <c r="J76" s="209" t="s">
        <v>1924</v>
      </c>
      <c r="K76" s="212" t="s">
        <v>2798</v>
      </c>
      <c r="L76" s="209"/>
      <c r="M76" s="208">
        <v>0</v>
      </c>
      <c r="N76" s="208">
        <v>1</v>
      </c>
      <c r="O76" s="208">
        <v>0</v>
      </c>
      <c r="P76" s="208">
        <v>1</v>
      </c>
      <c r="Q76" s="208">
        <v>0</v>
      </c>
      <c r="R76" s="208">
        <v>1</v>
      </c>
      <c r="S76" s="208">
        <v>0</v>
      </c>
      <c r="T76" s="208">
        <v>1</v>
      </c>
      <c r="U76" s="280" t="s">
        <v>2108</v>
      </c>
    </row>
    <row r="77" spans="1:21" x14ac:dyDescent="0.25">
      <c r="A77" s="211" t="s">
        <v>2167</v>
      </c>
      <c r="B77" s="209" t="s">
        <v>2153</v>
      </c>
      <c r="C77" s="209" t="s">
        <v>2168</v>
      </c>
      <c r="D77" s="209" t="s">
        <v>411</v>
      </c>
      <c r="E77" s="209" t="s">
        <v>1914</v>
      </c>
      <c r="F77" s="208">
        <v>4.7349999999999996E-3</v>
      </c>
      <c r="G77" s="208">
        <v>2.7825000000000002</v>
      </c>
      <c r="H77" s="209" t="s">
        <v>1916</v>
      </c>
      <c r="I77" s="209" t="s">
        <v>182</v>
      </c>
      <c r="J77" s="209" t="s">
        <v>1924</v>
      </c>
      <c r="K77" s="212" t="s">
        <v>2798</v>
      </c>
      <c r="L77" s="209"/>
      <c r="M77" s="208">
        <v>0</v>
      </c>
      <c r="N77" s="208">
        <v>1</v>
      </c>
      <c r="O77" s="208">
        <v>0</v>
      </c>
      <c r="P77" s="208">
        <v>1</v>
      </c>
      <c r="Q77" s="208">
        <v>0</v>
      </c>
      <c r="R77" s="208">
        <v>1</v>
      </c>
      <c r="S77" s="208">
        <v>0</v>
      </c>
      <c r="T77" s="208">
        <v>1</v>
      </c>
      <c r="U77" s="280" t="s">
        <v>2108</v>
      </c>
    </row>
    <row r="78" spans="1:21" x14ac:dyDescent="0.25">
      <c r="A78" s="211" t="s">
        <v>2143</v>
      </c>
      <c r="B78" s="209" t="s">
        <v>2130</v>
      </c>
      <c r="C78" s="209" t="s">
        <v>2144</v>
      </c>
      <c r="D78" s="209" t="s">
        <v>411</v>
      </c>
      <c r="E78" s="209" t="s">
        <v>1914</v>
      </c>
      <c r="F78" s="208">
        <v>4.8500000000000003E-4</v>
      </c>
      <c r="G78" s="208">
        <v>3.3516350000000004</v>
      </c>
      <c r="H78" s="209" t="s">
        <v>1916</v>
      </c>
      <c r="I78" s="209" t="s">
        <v>182</v>
      </c>
      <c r="J78" s="209" t="s">
        <v>1924</v>
      </c>
      <c r="K78" s="212" t="s">
        <v>2798</v>
      </c>
      <c r="L78" s="209"/>
      <c r="M78" s="208">
        <v>0</v>
      </c>
      <c r="N78" s="208">
        <v>1</v>
      </c>
      <c r="O78" s="208">
        <v>0</v>
      </c>
      <c r="P78" s="208">
        <v>1</v>
      </c>
      <c r="Q78" s="208">
        <v>0</v>
      </c>
      <c r="R78" s="208">
        <v>1</v>
      </c>
      <c r="S78" s="208">
        <v>0</v>
      </c>
      <c r="T78" s="208">
        <v>1</v>
      </c>
      <c r="U78" s="280" t="s">
        <v>2108</v>
      </c>
    </row>
    <row r="79" spans="1:21" x14ac:dyDescent="0.25">
      <c r="A79" s="211" t="s">
        <v>2139</v>
      </c>
      <c r="B79" s="209" t="s">
        <v>2130</v>
      </c>
      <c r="C79" s="209" t="s">
        <v>1911</v>
      </c>
      <c r="D79" s="209" t="s">
        <v>411</v>
      </c>
      <c r="E79" s="209" t="s">
        <v>1914</v>
      </c>
      <c r="F79" s="208">
        <v>4.8500000000000003E-4</v>
      </c>
      <c r="G79" s="208">
        <v>3.3516350000000004</v>
      </c>
      <c r="H79" s="209" t="s">
        <v>1916</v>
      </c>
      <c r="I79" s="209" t="s">
        <v>182</v>
      </c>
      <c r="J79" s="209" t="s">
        <v>1924</v>
      </c>
      <c r="K79" s="212" t="s">
        <v>2798</v>
      </c>
      <c r="L79" s="209"/>
      <c r="M79" s="208">
        <v>0</v>
      </c>
      <c r="N79" s="208">
        <v>1</v>
      </c>
      <c r="O79" s="208">
        <v>0</v>
      </c>
      <c r="P79" s="208">
        <v>1</v>
      </c>
      <c r="Q79" s="208">
        <v>0</v>
      </c>
      <c r="R79" s="208">
        <v>1</v>
      </c>
      <c r="S79" s="208">
        <v>0</v>
      </c>
      <c r="T79" s="208">
        <v>1</v>
      </c>
      <c r="U79" s="280" t="s">
        <v>2108</v>
      </c>
    </row>
    <row r="80" spans="1:21" x14ac:dyDescent="0.25">
      <c r="A80" s="211" t="s">
        <v>2129</v>
      </c>
      <c r="B80" s="209" t="s">
        <v>2121</v>
      </c>
      <c r="C80" s="209" t="s">
        <v>1911</v>
      </c>
      <c r="D80" s="209" t="s">
        <v>411</v>
      </c>
      <c r="E80" s="209" t="s">
        <v>1914</v>
      </c>
      <c r="F80" s="208">
        <v>4.8500000000000003E-4</v>
      </c>
      <c r="G80" s="208">
        <v>3.3516350000000004</v>
      </c>
      <c r="H80" s="209" t="s">
        <v>1916</v>
      </c>
      <c r="I80" s="209" t="s">
        <v>182</v>
      </c>
      <c r="J80" s="209" t="s">
        <v>2782</v>
      </c>
      <c r="K80" s="212" t="s">
        <v>2798</v>
      </c>
      <c r="L80" s="209"/>
      <c r="M80" s="208">
        <v>0</v>
      </c>
      <c r="N80" s="208">
        <v>1</v>
      </c>
      <c r="O80" s="208">
        <v>0</v>
      </c>
      <c r="P80" s="208">
        <v>1</v>
      </c>
      <c r="Q80" s="208">
        <v>0</v>
      </c>
      <c r="R80" s="208">
        <v>1</v>
      </c>
      <c r="S80" s="208">
        <v>0</v>
      </c>
      <c r="T80" s="208">
        <v>1</v>
      </c>
      <c r="U80" s="280" t="s">
        <v>2108</v>
      </c>
    </row>
    <row r="81" spans="1:21" x14ac:dyDescent="0.25">
      <c r="A81" s="211" t="s">
        <v>2141</v>
      </c>
      <c r="B81" s="209" t="s">
        <v>2130</v>
      </c>
      <c r="C81" s="209" t="s">
        <v>2142</v>
      </c>
      <c r="D81" s="209" t="s">
        <v>411</v>
      </c>
      <c r="E81" s="209" t="s">
        <v>1914</v>
      </c>
      <c r="F81" s="208">
        <v>4.8500000000000003E-4</v>
      </c>
      <c r="G81" s="208">
        <v>3.3516350000000004</v>
      </c>
      <c r="H81" s="209" t="s">
        <v>1916</v>
      </c>
      <c r="I81" s="209" t="s">
        <v>182</v>
      </c>
      <c r="J81" s="209" t="s">
        <v>1924</v>
      </c>
      <c r="K81" s="212" t="s">
        <v>2798</v>
      </c>
      <c r="L81" s="209"/>
      <c r="M81" s="208">
        <v>0</v>
      </c>
      <c r="N81" s="208">
        <v>1</v>
      </c>
      <c r="O81" s="208">
        <v>0</v>
      </c>
      <c r="P81" s="208">
        <v>1</v>
      </c>
      <c r="Q81" s="208">
        <v>0</v>
      </c>
      <c r="R81" s="208">
        <v>1</v>
      </c>
      <c r="S81" s="208">
        <v>0</v>
      </c>
      <c r="T81" s="208">
        <v>1</v>
      </c>
      <c r="U81" s="280" t="s">
        <v>2108</v>
      </c>
    </row>
    <row r="82" spans="1:21" x14ac:dyDescent="0.25">
      <c r="A82" s="211" t="s">
        <v>2148</v>
      </c>
      <c r="B82" s="209" t="s">
        <v>2130</v>
      </c>
      <c r="C82" s="209" t="s">
        <v>1911</v>
      </c>
      <c r="D82" s="209" t="s">
        <v>411</v>
      </c>
      <c r="E82" s="209" t="s">
        <v>1914</v>
      </c>
      <c r="F82" s="208">
        <v>4.8500000000000003E-4</v>
      </c>
      <c r="G82" s="208">
        <v>3.3516350000000004</v>
      </c>
      <c r="H82" s="209" t="s">
        <v>1916</v>
      </c>
      <c r="I82" s="209" t="s">
        <v>182</v>
      </c>
      <c r="J82" s="209" t="s">
        <v>1924</v>
      </c>
      <c r="K82" s="212" t="s">
        <v>2798</v>
      </c>
      <c r="L82" s="209"/>
      <c r="M82" s="208">
        <v>0</v>
      </c>
      <c r="N82" s="208">
        <v>1</v>
      </c>
      <c r="O82" s="208">
        <v>0</v>
      </c>
      <c r="P82" s="208">
        <v>1</v>
      </c>
      <c r="Q82" s="208">
        <v>0</v>
      </c>
      <c r="R82" s="208">
        <v>1</v>
      </c>
      <c r="S82" s="208">
        <v>0</v>
      </c>
      <c r="T82" s="208">
        <v>1</v>
      </c>
      <c r="U82" s="280" t="s">
        <v>2108</v>
      </c>
    </row>
    <row r="83" spans="1:21" x14ac:dyDescent="0.25">
      <c r="A83" s="211" t="s">
        <v>1911</v>
      </c>
      <c r="B83" s="209" t="s">
        <v>2130</v>
      </c>
      <c r="C83" s="209" t="s">
        <v>1911</v>
      </c>
      <c r="D83" s="209" t="s">
        <v>411</v>
      </c>
      <c r="E83" s="209" t="s">
        <v>1914</v>
      </c>
      <c r="F83" s="208">
        <v>4.8500000000000003E-4</v>
      </c>
      <c r="G83" s="208">
        <v>3.3516350000000004</v>
      </c>
      <c r="H83" s="209" t="s">
        <v>1916</v>
      </c>
      <c r="I83" s="209" t="s">
        <v>182</v>
      </c>
      <c r="J83" s="209" t="s">
        <v>1924</v>
      </c>
      <c r="K83" s="212" t="s">
        <v>2798</v>
      </c>
      <c r="L83" s="209"/>
      <c r="M83" s="208">
        <v>0</v>
      </c>
      <c r="N83" s="208">
        <v>1</v>
      </c>
      <c r="O83" s="208">
        <v>0</v>
      </c>
      <c r="P83" s="208">
        <v>1</v>
      </c>
      <c r="Q83" s="208">
        <v>0</v>
      </c>
      <c r="R83" s="208">
        <v>1</v>
      </c>
      <c r="S83" s="208">
        <v>0</v>
      </c>
      <c r="T83" s="208">
        <v>1</v>
      </c>
      <c r="U83" s="280" t="s">
        <v>2108</v>
      </c>
    </row>
    <row r="84" spans="1:21" x14ac:dyDescent="0.25">
      <c r="A84" s="211" t="s">
        <v>1402</v>
      </c>
      <c r="B84" s="209" t="s">
        <v>2421</v>
      </c>
      <c r="C84" s="209" t="s">
        <v>2441</v>
      </c>
      <c r="D84" s="209" t="s">
        <v>459</v>
      </c>
      <c r="E84" s="209" t="s">
        <v>1919</v>
      </c>
      <c r="F84" s="208">
        <v>1.8204285714285704E-2</v>
      </c>
      <c r="G84" s="208">
        <v>2.9027654761904764</v>
      </c>
      <c r="H84" s="209" t="s">
        <v>1916</v>
      </c>
      <c r="I84" s="209" t="s">
        <v>182</v>
      </c>
      <c r="J84" s="209" t="s">
        <v>1924</v>
      </c>
      <c r="K84" s="212" t="s">
        <v>2798</v>
      </c>
      <c r="L84" s="209"/>
      <c r="M84" s="208">
        <v>0</v>
      </c>
      <c r="N84" s="208">
        <v>1.1339999999999999</v>
      </c>
      <c r="O84" s="208">
        <v>0</v>
      </c>
      <c r="P84" s="208">
        <v>1.2450000000000001</v>
      </c>
      <c r="Q84" s="208">
        <v>0</v>
      </c>
      <c r="R84" s="208">
        <v>0.80321285140562237</v>
      </c>
      <c r="S84" s="208">
        <v>0</v>
      </c>
      <c r="T84" s="208">
        <v>0.88183421516754856</v>
      </c>
      <c r="U84" s="280" t="s">
        <v>2423</v>
      </c>
    </row>
    <row r="85" spans="1:21" x14ac:dyDescent="0.25">
      <c r="A85" s="211" t="s">
        <v>1440</v>
      </c>
      <c r="B85" s="209" t="s">
        <v>2449</v>
      </c>
      <c r="C85" s="209" t="s">
        <v>2458</v>
      </c>
      <c r="D85" s="209" t="s">
        <v>427</v>
      </c>
      <c r="E85" s="209" t="s">
        <v>1914</v>
      </c>
      <c r="F85" s="208">
        <v>1.6650277777777774E-2</v>
      </c>
      <c r="G85" s="208">
        <v>2.9921000000000002</v>
      </c>
      <c r="H85" s="209" t="s">
        <v>1916</v>
      </c>
      <c r="I85" s="209" t="s">
        <v>182</v>
      </c>
      <c r="J85" s="209" t="s">
        <v>1924</v>
      </c>
      <c r="K85" s="212" t="s">
        <v>2798</v>
      </c>
      <c r="L85" s="209"/>
      <c r="M85" s="208">
        <v>0</v>
      </c>
      <c r="N85" s="208">
        <v>1.0460251046025104</v>
      </c>
      <c r="O85" s="208">
        <v>0</v>
      </c>
      <c r="P85" s="208">
        <v>1.1919999999999999</v>
      </c>
      <c r="Q85" s="208">
        <v>0</v>
      </c>
      <c r="R85" s="208">
        <v>0.83892617449664431</v>
      </c>
      <c r="S85" s="208">
        <v>0</v>
      </c>
      <c r="T85" s="208">
        <v>0.95599999999999996</v>
      </c>
      <c r="U85" s="280" t="s">
        <v>2451</v>
      </c>
    </row>
    <row r="86" spans="1:21" x14ac:dyDescent="0.25">
      <c r="A86" s="211" t="s">
        <v>1791</v>
      </c>
      <c r="B86" s="209" t="s">
        <v>1911</v>
      </c>
      <c r="C86" s="209" t="s">
        <v>2678</v>
      </c>
      <c r="D86" s="209" t="s">
        <v>450</v>
      </c>
      <c r="E86" s="209" t="s">
        <v>1914</v>
      </c>
      <c r="F86" s="208">
        <v>2.5100000000000001E-2</v>
      </c>
      <c r="G86" s="208">
        <v>2.9350000000000001</v>
      </c>
      <c r="H86" s="209" t="s">
        <v>1923</v>
      </c>
      <c r="I86" s="209" t="s">
        <v>182</v>
      </c>
      <c r="J86" s="209" t="s">
        <v>2105</v>
      </c>
      <c r="K86" s="212" t="s">
        <v>2798</v>
      </c>
      <c r="L86" s="209" t="s">
        <v>2783</v>
      </c>
      <c r="M86" s="208">
        <v>0</v>
      </c>
      <c r="N86" s="208">
        <v>1</v>
      </c>
      <c r="O86" s="208">
        <v>1.3720000000000001</v>
      </c>
      <c r="P86" s="208">
        <v>0</v>
      </c>
      <c r="Q86" s="218" t="s">
        <v>147</v>
      </c>
      <c r="R86" s="218" t="s">
        <v>147</v>
      </c>
      <c r="S86" s="208">
        <v>2.97</v>
      </c>
      <c r="T86" s="208">
        <v>0.77</v>
      </c>
      <c r="U86" s="280" t="s">
        <v>1911</v>
      </c>
    </row>
    <row r="87" spans="1:21" x14ac:dyDescent="0.25">
      <c r="A87" s="211" t="s">
        <v>2342</v>
      </c>
      <c r="B87" s="209" t="s">
        <v>2335</v>
      </c>
      <c r="C87" s="209" t="s">
        <v>2336</v>
      </c>
      <c r="D87" s="209" t="s">
        <v>427</v>
      </c>
      <c r="E87" s="209" t="s">
        <v>1914</v>
      </c>
      <c r="F87" s="208">
        <v>1.6951367521367521E-2</v>
      </c>
      <c r="G87" s="208">
        <v>3.0200282051282055</v>
      </c>
      <c r="H87" s="209" t="s">
        <v>1916</v>
      </c>
      <c r="I87" s="209" t="s">
        <v>182</v>
      </c>
      <c r="J87" s="209" t="s">
        <v>1924</v>
      </c>
      <c r="K87" s="212" t="s">
        <v>2798</v>
      </c>
      <c r="L87" s="209"/>
      <c r="M87" s="208">
        <v>0</v>
      </c>
      <c r="N87" s="208">
        <v>1.3149999999999999</v>
      </c>
      <c r="O87" s="208">
        <v>0</v>
      </c>
      <c r="P87" s="208">
        <v>1.5329999999999999</v>
      </c>
      <c r="Q87" s="208">
        <v>0</v>
      </c>
      <c r="R87" s="208">
        <v>0.65231572080887157</v>
      </c>
      <c r="S87" s="208">
        <v>0</v>
      </c>
      <c r="T87" s="208">
        <v>0.76045627376425862</v>
      </c>
      <c r="U87" s="280" t="s">
        <v>2337</v>
      </c>
    </row>
    <row r="88" spans="1:21" x14ac:dyDescent="0.25">
      <c r="A88" s="211" t="s">
        <v>1286</v>
      </c>
      <c r="B88" s="209" t="s">
        <v>2335</v>
      </c>
      <c r="C88" s="209" t="s">
        <v>2345</v>
      </c>
      <c r="D88" s="209" t="s">
        <v>427</v>
      </c>
      <c r="E88" s="209" t="s">
        <v>1914</v>
      </c>
      <c r="F88" s="208">
        <v>1.6951367521367521E-2</v>
      </c>
      <c r="G88" s="208">
        <v>3.0200282051282055</v>
      </c>
      <c r="H88" s="209" t="s">
        <v>1916</v>
      </c>
      <c r="I88" s="209" t="s">
        <v>182</v>
      </c>
      <c r="J88" s="209" t="s">
        <v>1924</v>
      </c>
      <c r="K88" s="212" t="s">
        <v>2798</v>
      </c>
      <c r="L88" s="209"/>
      <c r="M88" s="208">
        <v>0</v>
      </c>
      <c r="N88" s="208">
        <v>1.3149999999999999</v>
      </c>
      <c r="O88" s="208">
        <v>0</v>
      </c>
      <c r="P88" s="208">
        <v>1.5329999999999999</v>
      </c>
      <c r="Q88" s="208">
        <v>0</v>
      </c>
      <c r="R88" s="208">
        <v>0.65231572080887157</v>
      </c>
      <c r="S88" s="208">
        <v>0</v>
      </c>
      <c r="T88" s="208">
        <v>0.76045627376425862</v>
      </c>
      <c r="U88" s="280" t="s">
        <v>2337</v>
      </c>
    </row>
    <row r="89" spans="1:21" x14ac:dyDescent="0.25">
      <c r="A89" s="211" t="s">
        <v>1288</v>
      </c>
      <c r="B89" s="209" t="s">
        <v>2335</v>
      </c>
      <c r="C89" s="209" t="s">
        <v>2346</v>
      </c>
      <c r="D89" s="209" t="s">
        <v>427</v>
      </c>
      <c r="E89" s="209" t="s">
        <v>1914</v>
      </c>
      <c r="F89" s="208">
        <v>1.6951367521367521E-2</v>
      </c>
      <c r="G89" s="208">
        <v>3.0200282051282055</v>
      </c>
      <c r="H89" s="209" t="s">
        <v>1916</v>
      </c>
      <c r="I89" s="209" t="s">
        <v>182</v>
      </c>
      <c r="J89" s="209" t="s">
        <v>1924</v>
      </c>
      <c r="K89" s="212" t="s">
        <v>2798</v>
      </c>
      <c r="L89" s="209"/>
      <c r="M89" s="208">
        <v>0</v>
      </c>
      <c r="N89" s="208">
        <v>1.3149999999999999</v>
      </c>
      <c r="O89" s="208">
        <v>0</v>
      </c>
      <c r="P89" s="208">
        <v>1.5329999999999999</v>
      </c>
      <c r="Q89" s="208">
        <v>0</v>
      </c>
      <c r="R89" s="208">
        <v>0.65231572080887157</v>
      </c>
      <c r="S89" s="208">
        <v>0</v>
      </c>
      <c r="T89" s="208">
        <v>0.76045627376425862</v>
      </c>
      <c r="U89" s="280" t="s">
        <v>2337</v>
      </c>
    </row>
    <row r="90" spans="1:21" x14ac:dyDescent="0.25">
      <c r="A90" s="211" t="s">
        <v>1290</v>
      </c>
      <c r="B90" s="209" t="s">
        <v>2335</v>
      </c>
      <c r="C90" s="209" t="s">
        <v>2347</v>
      </c>
      <c r="D90" s="209" t="s">
        <v>427</v>
      </c>
      <c r="E90" s="209" t="s">
        <v>1914</v>
      </c>
      <c r="F90" s="208">
        <v>1.6951367521367521E-2</v>
      </c>
      <c r="G90" s="208">
        <v>3.0200282051282055</v>
      </c>
      <c r="H90" s="209" t="s">
        <v>1916</v>
      </c>
      <c r="I90" s="209" t="s">
        <v>182</v>
      </c>
      <c r="J90" s="209" t="s">
        <v>1924</v>
      </c>
      <c r="K90" s="212" t="s">
        <v>2798</v>
      </c>
      <c r="L90" s="209"/>
      <c r="M90" s="208">
        <v>0</v>
      </c>
      <c r="N90" s="208">
        <v>1.3149999999999999</v>
      </c>
      <c r="O90" s="208">
        <v>0</v>
      </c>
      <c r="P90" s="208">
        <v>1.5329999999999999</v>
      </c>
      <c r="Q90" s="208">
        <v>0</v>
      </c>
      <c r="R90" s="208">
        <v>0.65231572080887157</v>
      </c>
      <c r="S90" s="208">
        <v>0</v>
      </c>
      <c r="T90" s="208">
        <v>0.76045627376425862</v>
      </c>
      <c r="U90" s="280" t="s">
        <v>2337</v>
      </c>
    </row>
    <row r="91" spans="1:21" x14ac:dyDescent="0.25">
      <c r="A91" s="211" t="s">
        <v>1292</v>
      </c>
      <c r="B91" s="209" t="s">
        <v>2335</v>
      </c>
      <c r="C91" s="209" t="s">
        <v>2348</v>
      </c>
      <c r="D91" s="209" t="s">
        <v>427</v>
      </c>
      <c r="E91" s="209" t="s">
        <v>1914</v>
      </c>
      <c r="F91" s="208">
        <v>1.6951367521367521E-2</v>
      </c>
      <c r="G91" s="208">
        <v>3.0200282051282055</v>
      </c>
      <c r="H91" s="209" t="s">
        <v>1916</v>
      </c>
      <c r="I91" s="209" t="s">
        <v>182</v>
      </c>
      <c r="J91" s="209" t="s">
        <v>1924</v>
      </c>
      <c r="K91" s="212" t="s">
        <v>2798</v>
      </c>
      <c r="L91" s="209"/>
      <c r="M91" s="208">
        <v>0</v>
      </c>
      <c r="N91" s="208">
        <v>1.3149999999999999</v>
      </c>
      <c r="O91" s="208">
        <v>0</v>
      </c>
      <c r="P91" s="208">
        <v>1.5329999999999999</v>
      </c>
      <c r="Q91" s="208">
        <v>0</v>
      </c>
      <c r="R91" s="208">
        <v>0.65231572080887157</v>
      </c>
      <c r="S91" s="208">
        <v>0</v>
      </c>
      <c r="T91" s="208">
        <v>0.76045627376425862</v>
      </c>
      <c r="U91" s="280" t="s">
        <v>2337</v>
      </c>
    </row>
    <row r="92" spans="1:21" x14ac:dyDescent="0.25">
      <c r="A92" s="211" t="s">
        <v>1284</v>
      </c>
      <c r="B92" s="209" t="s">
        <v>2335</v>
      </c>
      <c r="C92" s="209" t="s">
        <v>2349</v>
      </c>
      <c r="D92" s="209" t="s">
        <v>427</v>
      </c>
      <c r="E92" s="209" t="s">
        <v>1914</v>
      </c>
      <c r="F92" s="208">
        <v>1.6951367521367521E-2</v>
      </c>
      <c r="G92" s="208">
        <v>3.0200282051282055</v>
      </c>
      <c r="H92" s="209" t="s">
        <v>1916</v>
      </c>
      <c r="I92" s="209" t="s">
        <v>182</v>
      </c>
      <c r="J92" s="209" t="s">
        <v>1924</v>
      </c>
      <c r="K92" s="212" t="s">
        <v>2798</v>
      </c>
      <c r="L92" s="209"/>
      <c r="M92" s="208">
        <v>0</v>
      </c>
      <c r="N92" s="208">
        <v>1.3149999999999999</v>
      </c>
      <c r="O92" s="208">
        <v>0</v>
      </c>
      <c r="P92" s="208">
        <v>1.5329999999999999</v>
      </c>
      <c r="Q92" s="208">
        <v>0</v>
      </c>
      <c r="R92" s="208">
        <v>0.65231572080887157</v>
      </c>
      <c r="S92" s="208">
        <v>0</v>
      </c>
      <c r="T92" s="208">
        <v>0.76045627376425862</v>
      </c>
      <c r="U92" s="280" t="s">
        <v>2337</v>
      </c>
    </row>
    <row r="93" spans="1:21" x14ac:dyDescent="0.25">
      <c r="A93" s="211" t="s">
        <v>1294</v>
      </c>
      <c r="B93" s="209" t="s">
        <v>2335</v>
      </c>
      <c r="C93" s="209" t="s">
        <v>2350</v>
      </c>
      <c r="D93" s="209" t="s">
        <v>427</v>
      </c>
      <c r="E93" s="209" t="s">
        <v>1914</v>
      </c>
      <c r="F93" s="208">
        <v>1.6951367521367521E-2</v>
      </c>
      <c r="G93" s="208">
        <v>3.0200282051282055</v>
      </c>
      <c r="H93" s="209" t="s">
        <v>1916</v>
      </c>
      <c r="I93" s="209" t="s">
        <v>182</v>
      </c>
      <c r="J93" s="209" t="s">
        <v>1924</v>
      </c>
      <c r="K93" s="212" t="s">
        <v>2798</v>
      </c>
      <c r="L93" s="209"/>
      <c r="M93" s="208">
        <v>0</v>
      </c>
      <c r="N93" s="208">
        <v>1.3149999999999999</v>
      </c>
      <c r="O93" s="208">
        <v>0</v>
      </c>
      <c r="P93" s="208">
        <v>1.5329999999999999</v>
      </c>
      <c r="Q93" s="208">
        <v>0</v>
      </c>
      <c r="R93" s="208">
        <v>0.65231572080887157</v>
      </c>
      <c r="S93" s="208">
        <v>0</v>
      </c>
      <c r="T93" s="208">
        <v>0.76045627376425862</v>
      </c>
      <c r="U93" s="280" t="s">
        <v>2337</v>
      </c>
    </row>
    <row r="94" spans="1:21" x14ac:dyDescent="0.25">
      <c r="A94" s="211" t="s">
        <v>1298</v>
      </c>
      <c r="B94" s="209" t="s">
        <v>2335</v>
      </c>
      <c r="C94" s="209" t="s">
        <v>2344</v>
      </c>
      <c r="D94" s="209" t="s">
        <v>427</v>
      </c>
      <c r="E94" s="209" t="s">
        <v>1914</v>
      </c>
      <c r="F94" s="208">
        <v>1.6951367521367521E-2</v>
      </c>
      <c r="G94" s="208">
        <v>3.0200282051282055</v>
      </c>
      <c r="H94" s="209" t="s">
        <v>1916</v>
      </c>
      <c r="I94" s="209" t="s">
        <v>182</v>
      </c>
      <c r="J94" s="209" t="s">
        <v>1924</v>
      </c>
      <c r="K94" s="212" t="s">
        <v>2798</v>
      </c>
      <c r="L94" s="209"/>
      <c r="M94" s="208">
        <v>0</v>
      </c>
      <c r="N94" s="208">
        <v>1.3149999999999999</v>
      </c>
      <c r="O94" s="208">
        <v>0</v>
      </c>
      <c r="P94" s="208">
        <v>1.5329999999999999</v>
      </c>
      <c r="Q94" s="208">
        <v>0</v>
      </c>
      <c r="R94" s="208">
        <v>0.65231572080887157</v>
      </c>
      <c r="S94" s="208">
        <v>0</v>
      </c>
      <c r="T94" s="208">
        <v>0.76045627376425862</v>
      </c>
      <c r="U94" s="280" t="s">
        <v>2337</v>
      </c>
    </row>
    <row r="95" spans="1:21" x14ac:dyDescent="0.25">
      <c r="A95" s="211" t="s">
        <v>1300</v>
      </c>
      <c r="B95" s="209" t="s">
        <v>2335</v>
      </c>
      <c r="C95" s="209" t="s">
        <v>2343</v>
      </c>
      <c r="D95" s="209" t="s">
        <v>427</v>
      </c>
      <c r="E95" s="209" t="s">
        <v>1914</v>
      </c>
      <c r="F95" s="208">
        <v>1.6951367521367521E-2</v>
      </c>
      <c r="G95" s="208">
        <v>3.0200282051282055</v>
      </c>
      <c r="H95" s="209" t="s">
        <v>1916</v>
      </c>
      <c r="I95" s="209" t="s">
        <v>182</v>
      </c>
      <c r="J95" s="209" t="s">
        <v>1924</v>
      </c>
      <c r="K95" s="212" t="s">
        <v>2798</v>
      </c>
      <c r="L95" s="209"/>
      <c r="M95" s="208">
        <v>0</v>
      </c>
      <c r="N95" s="208">
        <v>1.3149999999999999</v>
      </c>
      <c r="O95" s="208">
        <v>0</v>
      </c>
      <c r="P95" s="208">
        <v>1.5329999999999999</v>
      </c>
      <c r="Q95" s="208">
        <v>0</v>
      </c>
      <c r="R95" s="208">
        <v>0.65231572080887157</v>
      </c>
      <c r="S95" s="208">
        <v>0</v>
      </c>
      <c r="T95" s="208">
        <v>0.76045627376425862</v>
      </c>
      <c r="U95" s="280" t="s">
        <v>2337</v>
      </c>
    </row>
    <row r="96" spans="1:21" x14ac:dyDescent="0.25">
      <c r="A96" s="211" t="s">
        <v>1307</v>
      </c>
      <c r="B96" s="209" t="s">
        <v>2335</v>
      </c>
      <c r="C96" s="209" t="s">
        <v>2357</v>
      </c>
      <c r="D96" s="209" t="s">
        <v>427</v>
      </c>
      <c r="E96" s="209" t="s">
        <v>1914</v>
      </c>
      <c r="F96" s="208">
        <v>1.6951367521367521E-2</v>
      </c>
      <c r="G96" s="208">
        <v>3.0200282051282055</v>
      </c>
      <c r="H96" s="209" t="s">
        <v>1916</v>
      </c>
      <c r="I96" s="209" t="s">
        <v>182</v>
      </c>
      <c r="J96" s="209" t="s">
        <v>1924</v>
      </c>
      <c r="K96" s="212" t="s">
        <v>2798</v>
      </c>
      <c r="L96" s="209"/>
      <c r="M96" s="208">
        <v>0</v>
      </c>
      <c r="N96" s="208">
        <v>1.3149999999999999</v>
      </c>
      <c r="O96" s="208">
        <v>0</v>
      </c>
      <c r="P96" s="208">
        <v>1.5329999999999999</v>
      </c>
      <c r="Q96" s="208">
        <v>0</v>
      </c>
      <c r="R96" s="208">
        <v>0.65231572080887157</v>
      </c>
      <c r="S96" s="208">
        <v>0</v>
      </c>
      <c r="T96" s="208">
        <v>0.76045627376425862</v>
      </c>
      <c r="U96" s="280" t="s">
        <v>2337</v>
      </c>
    </row>
    <row r="97" spans="1:21" x14ac:dyDescent="0.25">
      <c r="A97" s="211" t="s">
        <v>1309</v>
      </c>
      <c r="B97" s="209" t="s">
        <v>2335</v>
      </c>
      <c r="C97" s="209" t="s">
        <v>2358</v>
      </c>
      <c r="D97" s="209" t="s">
        <v>427</v>
      </c>
      <c r="E97" s="209" t="s">
        <v>1914</v>
      </c>
      <c r="F97" s="208">
        <v>1.6951367521367521E-2</v>
      </c>
      <c r="G97" s="208">
        <v>3.0200282051282055</v>
      </c>
      <c r="H97" s="209" t="s">
        <v>1916</v>
      </c>
      <c r="I97" s="209" t="s">
        <v>182</v>
      </c>
      <c r="J97" s="209" t="s">
        <v>1924</v>
      </c>
      <c r="K97" s="212" t="s">
        <v>2798</v>
      </c>
      <c r="L97" s="209"/>
      <c r="M97" s="208">
        <v>0</v>
      </c>
      <c r="N97" s="208">
        <v>1.3149999999999999</v>
      </c>
      <c r="O97" s="208">
        <v>0</v>
      </c>
      <c r="P97" s="208">
        <v>1.5329999999999999</v>
      </c>
      <c r="Q97" s="208">
        <v>0</v>
      </c>
      <c r="R97" s="208">
        <v>0.65231572080887157</v>
      </c>
      <c r="S97" s="208">
        <v>0</v>
      </c>
      <c r="T97" s="208">
        <v>0.76045627376425862</v>
      </c>
      <c r="U97" s="280" t="s">
        <v>2337</v>
      </c>
    </row>
    <row r="98" spans="1:21" x14ac:dyDescent="0.25">
      <c r="A98" s="211" t="s">
        <v>1305</v>
      </c>
      <c r="B98" s="209" t="s">
        <v>2335</v>
      </c>
      <c r="C98" s="209" t="s">
        <v>2359</v>
      </c>
      <c r="D98" s="209" t="s">
        <v>427</v>
      </c>
      <c r="E98" s="209" t="s">
        <v>1914</v>
      </c>
      <c r="F98" s="208">
        <v>1.6951367521367521E-2</v>
      </c>
      <c r="G98" s="208">
        <v>3.0200282051282055</v>
      </c>
      <c r="H98" s="209" t="s">
        <v>1916</v>
      </c>
      <c r="I98" s="209" t="s">
        <v>182</v>
      </c>
      <c r="J98" s="209" t="s">
        <v>1924</v>
      </c>
      <c r="K98" s="212" t="s">
        <v>2798</v>
      </c>
      <c r="L98" s="209"/>
      <c r="M98" s="208">
        <v>0</v>
      </c>
      <c r="N98" s="208">
        <v>1.3149999999999999</v>
      </c>
      <c r="O98" s="208">
        <v>0</v>
      </c>
      <c r="P98" s="208">
        <v>1.5329999999999999</v>
      </c>
      <c r="Q98" s="208">
        <v>0</v>
      </c>
      <c r="R98" s="208">
        <v>0.65231572080887157</v>
      </c>
      <c r="S98" s="208">
        <v>0</v>
      </c>
      <c r="T98" s="208">
        <v>0.76045627376425862</v>
      </c>
      <c r="U98" s="280" t="s">
        <v>2337</v>
      </c>
    </row>
    <row r="99" spans="1:21" x14ac:dyDescent="0.25">
      <c r="A99" s="211" t="s">
        <v>1311</v>
      </c>
      <c r="B99" s="209" t="s">
        <v>2335</v>
      </c>
      <c r="C99" s="209" t="s">
        <v>2360</v>
      </c>
      <c r="D99" s="209" t="s">
        <v>427</v>
      </c>
      <c r="E99" s="209" t="s">
        <v>1914</v>
      </c>
      <c r="F99" s="208">
        <v>1.6951367521367521E-2</v>
      </c>
      <c r="G99" s="208">
        <v>3.0200282051282055</v>
      </c>
      <c r="H99" s="209" t="s">
        <v>1916</v>
      </c>
      <c r="I99" s="209" t="s">
        <v>182</v>
      </c>
      <c r="J99" s="209" t="s">
        <v>1924</v>
      </c>
      <c r="K99" s="212" t="s">
        <v>2798</v>
      </c>
      <c r="L99" s="209"/>
      <c r="M99" s="208">
        <v>0</v>
      </c>
      <c r="N99" s="208">
        <v>1.3149999999999999</v>
      </c>
      <c r="O99" s="208">
        <v>0</v>
      </c>
      <c r="P99" s="208">
        <v>1.5329999999999999</v>
      </c>
      <c r="Q99" s="208">
        <v>0</v>
      </c>
      <c r="R99" s="208">
        <v>0.65231572080887157</v>
      </c>
      <c r="S99" s="208">
        <v>0</v>
      </c>
      <c r="T99" s="208">
        <v>0.76045627376425862</v>
      </c>
      <c r="U99" s="280" t="s">
        <v>2337</v>
      </c>
    </row>
    <row r="100" spans="1:21" x14ac:dyDescent="0.25">
      <c r="A100" s="209" t="s">
        <v>1271</v>
      </c>
      <c r="B100" s="209" t="s">
        <v>2335</v>
      </c>
      <c r="C100" s="209" t="s">
        <v>2336</v>
      </c>
      <c r="D100" s="209" t="s">
        <v>427</v>
      </c>
      <c r="E100" s="209" t="s">
        <v>1914</v>
      </c>
      <c r="F100" s="208">
        <v>1.6951367521367521E-2</v>
      </c>
      <c r="G100" s="208">
        <v>3.0200282051282055</v>
      </c>
      <c r="H100" s="209" t="s">
        <v>1916</v>
      </c>
      <c r="I100" s="209" t="s">
        <v>182</v>
      </c>
      <c r="J100" s="209" t="s">
        <v>1924</v>
      </c>
      <c r="K100" s="212" t="s">
        <v>2798</v>
      </c>
      <c r="L100" s="209"/>
      <c r="M100" s="208">
        <v>0</v>
      </c>
      <c r="N100" s="208">
        <v>1.3149999999999999</v>
      </c>
      <c r="O100" s="208">
        <v>0</v>
      </c>
      <c r="P100" s="208">
        <v>1.5329999999999999</v>
      </c>
      <c r="Q100" s="208">
        <v>0</v>
      </c>
      <c r="R100" s="208">
        <v>0.65231572080887157</v>
      </c>
      <c r="S100" s="208">
        <v>0</v>
      </c>
      <c r="T100" s="208">
        <v>0.76045627376425862</v>
      </c>
      <c r="U100" s="280" t="s">
        <v>2337</v>
      </c>
    </row>
    <row r="101" spans="1:21" x14ac:dyDescent="0.25">
      <c r="A101" s="211" t="s">
        <v>985</v>
      </c>
      <c r="B101" s="209" t="s">
        <v>2011</v>
      </c>
      <c r="C101" s="209" t="s">
        <v>2013</v>
      </c>
      <c r="D101" s="209" t="s">
        <v>415</v>
      </c>
      <c r="E101" s="209" t="s">
        <v>1919</v>
      </c>
      <c r="F101" s="208">
        <v>1.3078888888888886E-2</v>
      </c>
      <c r="G101" s="208">
        <v>3.1110275555555558</v>
      </c>
      <c r="H101" s="209" t="s">
        <v>1923</v>
      </c>
      <c r="I101" s="209" t="s">
        <v>182</v>
      </c>
      <c r="J101" s="209" t="s">
        <v>1924</v>
      </c>
      <c r="K101" s="212" t="s">
        <v>2798</v>
      </c>
      <c r="L101" s="209"/>
      <c r="M101" s="208">
        <v>0</v>
      </c>
      <c r="N101" s="208">
        <v>1.1100000000000001</v>
      </c>
      <c r="O101" s="208">
        <v>0</v>
      </c>
      <c r="P101" s="208">
        <v>1.1970000000000001</v>
      </c>
      <c r="Q101" s="208">
        <v>0</v>
      </c>
      <c r="R101" s="208">
        <v>0.83542188805346695</v>
      </c>
      <c r="S101" s="208">
        <v>0</v>
      </c>
      <c r="T101" s="208">
        <v>0.9009009009009008</v>
      </c>
      <c r="U101" s="280" t="s">
        <v>2012</v>
      </c>
    </row>
    <row r="102" spans="1:21" x14ac:dyDescent="0.25">
      <c r="A102" s="211" t="s">
        <v>989</v>
      </c>
      <c r="B102" s="209" t="s">
        <v>2011</v>
      </c>
      <c r="C102" s="209" t="s">
        <v>2014</v>
      </c>
      <c r="D102" s="209" t="s">
        <v>415</v>
      </c>
      <c r="E102" s="209" t="s">
        <v>1919</v>
      </c>
      <c r="F102" s="208">
        <v>1.3078888888888886E-2</v>
      </c>
      <c r="G102" s="208">
        <v>3.1110275555555558</v>
      </c>
      <c r="H102" s="209" t="s">
        <v>1923</v>
      </c>
      <c r="I102" s="209" t="s">
        <v>182</v>
      </c>
      <c r="J102" s="209" t="s">
        <v>1924</v>
      </c>
      <c r="K102" s="212" t="s">
        <v>2798</v>
      </c>
      <c r="L102" s="209"/>
      <c r="M102" s="208">
        <v>0</v>
      </c>
      <c r="N102" s="208">
        <v>1.1100000000000001</v>
      </c>
      <c r="O102" s="208">
        <v>0</v>
      </c>
      <c r="P102" s="208">
        <v>1.1970000000000001</v>
      </c>
      <c r="Q102" s="208">
        <v>0</v>
      </c>
      <c r="R102" s="208">
        <v>0.83542188805346695</v>
      </c>
      <c r="S102" s="208">
        <v>0</v>
      </c>
      <c r="T102" s="208">
        <v>0.9009009009009008</v>
      </c>
      <c r="U102" s="280" t="s">
        <v>2012</v>
      </c>
    </row>
    <row r="103" spans="1:21" x14ac:dyDescent="0.25">
      <c r="A103" s="209" t="s">
        <v>976</v>
      </c>
      <c r="B103" s="209" t="s">
        <v>2011</v>
      </c>
      <c r="C103" s="209" t="s">
        <v>415</v>
      </c>
      <c r="D103" s="209" t="s">
        <v>415</v>
      </c>
      <c r="E103" s="209" t="s">
        <v>1919</v>
      </c>
      <c r="F103" s="208">
        <v>1.3078888888888886E-2</v>
      </c>
      <c r="G103" s="208">
        <v>3.1110275555555558</v>
      </c>
      <c r="H103" s="209" t="s">
        <v>1923</v>
      </c>
      <c r="I103" s="209" t="s">
        <v>182</v>
      </c>
      <c r="J103" s="209" t="s">
        <v>1924</v>
      </c>
      <c r="K103" s="212" t="s">
        <v>2798</v>
      </c>
      <c r="L103" s="209"/>
      <c r="M103" s="208">
        <v>0</v>
      </c>
      <c r="N103" s="208">
        <v>1.1100000000000001</v>
      </c>
      <c r="O103" s="208">
        <v>0</v>
      </c>
      <c r="P103" s="208">
        <v>1.1970000000000001</v>
      </c>
      <c r="Q103" s="208">
        <v>0</v>
      </c>
      <c r="R103" s="208">
        <v>0.83542188805346695</v>
      </c>
      <c r="S103" s="208">
        <v>0</v>
      </c>
      <c r="T103" s="208">
        <v>0.9009009009009008</v>
      </c>
      <c r="U103" s="280" t="s">
        <v>2012</v>
      </c>
    </row>
    <row r="104" spans="1:21" x14ac:dyDescent="0.25">
      <c r="A104" s="211" t="s">
        <v>2018</v>
      </c>
      <c r="B104" s="209" t="s">
        <v>2011</v>
      </c>
      <c r="C104" s="209" t="s">
        <v>2019</v>
      </c>
      <c r="D104" s="209" t="s">
        <v>415</v>
      </c>
      <c r="E104" s="209" t="s">
        <v>1919</v>
      </c>
      <c r="F104" s="208">
        <v>1.3078888888888886E-2</v>
      </c>
      <c r="G104" s="208">
        <v>3.1110275555555558</v>
      </c>
      <c r="H104" s="209" t="s">
        <v>1923</v>
      </c>
      <c r="I104" s="209" t="s">
        <v>182</v>
      </c>
      <c r="J104" s="209" t="s">
        <v>1924</v>
      </c>
      <c r="K104" s="212" t="s">
        <v>2798</v>
      </c>
      <c r="L104" s="209"/>
      <c r="M104" s="208">
        <v>0</v>
      </c>
      <c r="N104" s="208">
        <v>1.1100000000000001</v>
      </c>
      <c r="O104" s="208">
        <v>0</v>
      </c>
      <c r="P104" s="208">
        <v>1.1970000000000001</v>
      </c>
      <c r="Q104" s="208">
        <v>0</v>
      </c>
      <c r="R104" s="208">
        <v>0.83542188805346695</v>
      </c>
      <c r="S104" s="208">
        <v>0</v>
      </c>
      <c r="T104" s="208">
        <v>0.9009009009009008</v>
      </c>
      <c r="U104" s="280" t="s">
        <v>2012</v>
      </c>
    </row>
    <row r="105" spans="1:21" x14ac:dyDescent="0.25">
      <c r="A105" s="211" t="s">
        <v>1002</v>
      </c>
      <c r="B105" s="209" t="s">
        <v>2011</v>
      </c>
      <c r="C105" s="209" t="s">
        <v>2020</v>
      </c>
      <c r="D105" s="209" t="s">
        <v>415</v>
      </c>
      <c r="E105" s="209" t="s">
        <v>1919</v>
      </c>
      <c r="F105" s="208">
        <v>1.3078888888888886E-2</v>
      </c>
      <c r="G105" s="208">
        <v>3.1110275555555558</v>
      </c>
      <c r="H105" s="209" t="s">
        <v>1923</v>
      </c>
      <c r="I105" s="209" t="s">
        <v>182</v>
      </c>
      <c r="J105" s="209" t="s">
        <v>1924</v>
      </c>
      <c r="K105" s="212" t="s">
        <v>2798</v>
      </c>
      <c r="L105" s="209"/>
      <c r="M105" s="208">
        <v>0</v>
      </c>
      <c r="N105" s="208">
        <v>1.1100000000000001</v>
      </c>
      <c r="O105" s="208">
        <v>0</v>
      </c>
      <c r="P105" s="208">
        <v>1.1970000000000001</v>
      </c>
      <c r="Q105" s="208">
        <v>0</v>
      </c>
      <c r="R105" s="208">
        <v>0.83542188805346695</v>
      </c>
      <c r="S105" s="208">
        <v>0</v>
      </c>
      <c r="T105" s="208">
        <v>0.9009009009009008</v>
      </c>
      <c r="U105" s="280" t="s">
        <v>2012</v>
      </c>
    </row>
    <row r="106" spans="1:21" x14ac:dyDescent="0.25">
      <c r="A106" s="211" t="s">
        <v>1004</v>
      </c>
      <c r="B106" s="209" t="s">
        <v>2011</v>
      </c>
      <c r="C106" s="209" t="s">
        <v>2021</v>
      </c>
      <c r="D106" s="209" t="s">
        <v>415</v>
      </c>
      <c r="E106" s="209" t="s">
        <v>1919</v>
      </c>
      <c r="F106" s="208">
        <v>1.3078888888888886E-2</v>
      </c>
      <c r="G106" s="208">
        <v>3.1110275555555558</v>
      </c>
      <c r="H106" s="209" t="s">
        <v>1923</v>
      </c>
      <c r="I106" s="209" t="s">
        <v>182</v>
      </c>
      <c r="J106" s="209" t="s">
        <v>1924</v>
      </c>
      <c r="K106" s="212" t="s">
        <v>2798</v>
      </c>
      <c r="L106" s="209"/>
      <c r="M106" s="208">
        <v>0</v>
      </c>
      <c r="N106" s="208">
        <v>1.1100000000000001</v>
      </c>
      <c r="O106" s="208">
        <v>0</v>
      </c>
      <c r="P106" s="208">
        <v>1.1970000000000001</v>
      </c>
      <c r="Q106" s="208">
        <v>0</v>
      </c>
      <c r="R106" s="208">
        <v>0.83542188805346695</v>
      </c>
      <c r="S106" s="208">
        <v>0</v>
      </c>
      <c r="T106" s="208">
        <v>0.9009009009009008</v>
      </c>
      <c r="U106" s="280" t="s">
        <v>2012</v>
      </c>
    </row>
    <row r="107" spans="1:21" x14ac:dyDescent="0.25">
      <c r="A107" s="211" t="s">
        <v>1006</v>
      </c>
      <c r="B107" s="209" t="s">
        <v>2011</v>
      </c>
      <c r="C107" s="209" t="s">
        <v>2022</v>
      </c>
      <c r="D107" s="209" t="s">
        <v>415</v>
      </c>
      <c r="E107" s="209" t="s">
        <v>1919</v>
      </c>
      <c r="F107" s="208">
        <v>1.3078888888888886E-2</v>
      </c>
      <c r="G107" s="208">
        <v>3.1110275555555558</v>
      </c>
      <c r="H107" s="209" t="s">
        <v>1923</v>
      </c>
      <c r="I107" s="209" t="s">
        <v>182</v>
      </c>
      <c r="J107" s="209" t="s">
        <v>1924</v>
      </c>
      <c r="K107" s="212" t="s">
        <v>2798</v>
      </c>
      <c r="L107" s="209"/>
      <c r="M107" s="208">
        <v>0</v>
      </c>
      <c r="N107" s="208">
        <v>1.1100000000000001</v>
      </c>
      <c r="O107" s="208">
        <v>0</v>
      </c>
      <c r="P107" s="208">
        <v>1.1970000000000001</v>
      </c>
      <c r="Q107" s="208">
        <v>0</v>
      </c>
      <c r="R107" s="208">
        <v>0.83542188805346695</v>
      </c>
      <c r="S107" s="208">
        <v>0</v>
      </c>
      <c r="T107" s="208">
        <v>0.9009009009009008</v>
      </c>
      <c r="U107" s="280" t="s">
        <v>2012</v>
      </c>
    </row>
    <row r="108" spans="1:21" x14ac:dyDescent="0.25">
      <c r="A108" s="211" t="s">
        <v>1014</v>
      </c>
      <c r="B108" s="209" t="s">
        <v>2011</v>
      </c>
      <c r="C108" s="209" t="s">
        <v>2023</v>
      </c>
      <c r="D108" s="209" t="s">
        <v>415</v>
      </c>
      <c r="E108" s="209" t="s">
        <v>1919</v>
      </c>
      <c r="F108" s="208">
        <v>1.3078888888888886E-2</v>
      </c>
      <c r="G108" s="208">
        <v>3.1110275555555558</v>
      </c>
      <c r="H108" s="209" t="s">
        <v>1923</v>
      </c>
      <c r="I108" s="209" t="s">
        <v>182</v>
      </c>
      <c r="J108" s="209" t="s">
        <v>1924</v>
      </c>
      <c r="K108" s="212" t="s">
        <v>2798</v>
      </c>
      <c r="L108" s="209"/>
      <c r="M108" s="208">
        <v>0</v>
      </c>
      <c r="N108" s="208">
        <v>1.1100000000000001</v>
      </c>
      <c r="O108" s="208">
        <v>0</v>
      </c>
      <c r="P108" s="208">
        <v>1.1970000000000001</v>
      </c>
      <c r="Q108" s="208">
        <v>0</v>
      </c>
      <c r="R108" s="208">
        <v>0.83542188805346695</v>
      </c>
      <c r="S108" s="208">
        <v>0</v>
      </c>
      <c r="T108" s="208">
        <v>0.9009009009009008</v>
      </c>
      <c r="U108" s="280" t="s">
        <v>2012</v>
      </c>
    </row>
    <row r="109" spans="1:21" x14ac:dyDescent="0.25">
      <c r="A109" s="211" t="s">
        <v>2024</v>
      </c>
      <c r="B109" s="209" t="s">
        <v>2011</v>
      </c>
      <c r="C109" s="209" t="s">
        <v>2025</v>
      </c>
      <c r="D109" s="209" t="s">
        <v>415</v>
      </c>
      <c r="E109" s="209" t="s">
        <v>1919</v>
      </c>
      <c r="F109" s="208">
        <v>1.3078888888888886E-2</v>
      </c>
      <c r="G109" s="208">
        <v>3.1110275555555558</v>
      </c>
      <c r="H109" s="209" t="s">
        <v>1923</v>
      </c>
      <c r="I109" s="209" t="s">
        <v>182</v>
      </c>
      <c r="J109" s="209" t="s">
        <v>1924</v>
      </c>
      <c r="K109" s="212" t="s">
        <v>2798</v>
      </c>
      <c r="L109" s="209"/>
      <c r="M109" s="208">
        <v>0</v>
      </c>
      <c r="N109" s="208">
        <v>1.1100000000000001</v>
      </c>
      <c r="O109" s="208">
        <v>0</v>
      </c>
      <c r="P109" s="208">
        <v>1.1970000000000001</v>
      </c>
      <c r="Q109" s="208">
        <v>0</v>
      </c>
      <c r="R109" s="208">
        <v>0.83542188805346695</v>
      </c>
      <c r="S109" s="208">
        <v>0</v>
      </c>
      <c r="T109" s="208">
        <v>0.9009009009009008</v>
      </c>
      <c r="U109" s="280" t="s">
        <v>2012</v>
      </c>
    </row>
    <row r="110" spans="1:21" x14ac:dyDescent="0.25">
      <c r="A110" s="211" t="s">
        <v>1008</v>
      </c>
      <c r="B110" s="209" t="s">
        <v>2011</v>
      </c>
      <c r="C110" s="209" t="s">
        <v>2026</v>
      </c>
      <c r="D110" s="209" t="s">
        <v>415</v>
      </c>
      <c r="E110" s="209" t="s">
        <v>1919</v>
      </c>
      <c r="F110" s="208">
        <v>1.3078888888888886E-2</v>
      </c>
      <c r="G110" s="208">
        <v>3.1110275555555558</v>
      </c>
      <c r="H110" s="209" t="s">
        <v>1923</v>
      </c>
      <c r="I110" s="209" t="s">
        <v>182</v>
      </c>
      <c r="J110" s="209" t="s">
        <v>1924</v>
      </c>
      <c r="K110" s="212" t="s">
        <v>2798</v>
      </c>
      <c r="L110" s="209"/>
      <c r="M110" s="208">
        <v>0</v>
      </c>
      <c r="N110" s="208">
        <v>1.1100000000000001</v>
      </c>
      <c r="O110" s="208">
        <v>0</v>
      </c>
      <c r="P110" s="208">
        <v>1.1970000000000001</v>
      </c>
      <c r="Q110" s="208">
        <v>0</v>
      </c>
      <c r="R110" s="208">
        <v>0.83542188805346695</v>
      </c>
      <c r="S110" s="208">
        <v>0</v>
      </c>
      <c r="T110" s="208">
        <v>0.9009009009009008</v>
      </c>
      <c r="U110" s="280" t="s">
        <v>2012</v>
      </c>
    </row>
    <row r="111" spans="1:21" x14ac:dyDescent="0.25">
      <c r="A111" s="211" t="s">
        <v>1018</v>
      </c>
      <c r="B111" s="209" t="s">
        <v>2011</v>
      </c>
      <c r="C111" s="209" t="s">
        <v>2027</v>
      </c>
      <c r="D111" s="209" t="s">
        <v>415</v>
      </c>
      <c r="E111" s="209" t="s">
        <v>1919</v>
      </c>
      <c r="F111" s="208">
        <v>1.3078888888888886E-2</v>
      </c>
      <c r="G111" s="208">
        <v>3.1110275555555558</v>
      </c>
      <c r="H111" s="209" t="s">
        <v>1923</v>
      </c>
      <c r="I111" s="209" t="s">
        <v>182</v>
      </c>
      <c r="J111" s="209" t="s">
        <v>1924</v>
      </c>
      <c r="K111" s="212" t="s">
        <v>2798</v>
      </c>
      <c r="L111" s="209"/>
      <c r="M111" s="208">
        <v>0</v>
      </c>
      <c r="N111" s="208">
        <v>1.1100000000000001</v>
      </c>
      <c r="O111" s="208">
        <v>0</v>
      </c>
      <c r="P111" s="208">
        <v>1.1970000000000001</v>
      </c>
      <c r="Q111" s="208">
        <v>0</v>
      </c>
      <c r="R111" s="208">
        <v>0.83542188805346695</v>
      </c>
      <c r="S111" s="208">
        <v>0</v>
      </c>
      <c r="T111" s="208">
        <v>0.9009009009009008</v>
      </c>
      <c r="U111" s="280" t="s">
        <v>2012</v>
      </c>
    </row>
    <row r="112" spans="1:21" x14ac:dyDescent="0.25">
      <c r="A112" s="211" t="s">
        <v>1016</v>
      </c>
      <c r="B112" s="209" t="s">
        <v>2011</v>
      </c>
      <c r="C112" s="209" t="s">
        <v>2028</v>
      </c>
      <c r="D112" s="209" t="s">
        <v>415</v>
      </c>
      <c r="E112" s="209" t="s">
        <v>1919</v>
      </c>
      <c r="F112" s="208">
        <v>1.3078888888888886E-2</v>
      </c>
      <c r="G112" s="208">
        <v>3.1110275555555558</v>
      </c>
      <c r="H112" s="209" t="s">
        <v>1923</v>
      </c>
      <c r="I112" s="209" t="s">
        <v>182</v>
      </c>
      <c r="J112" s="209" t="s">
        <v>1924</v>
      </c>
      <c r="K112" s="212" t="s">
        <v>2798</v>
      </c>
      <c r="L112" s="209"/>
      <c r="M112" s="208">
        <v>0</v>
      </c>
      <c r="N112" s="208">
        <v>1.1100000000000001</v>
      </c>
      <c r="O112" s="208">
        <v>0</v>
      </c>
      <c r="P112" s="208">
        <v>1.1970000000000001</v>
      </c>
      <c r="Q112" s="208">
        <v>0</v>
      </c>
      <c r="R112" s="208">
        <v>0.83542188805346695</v>
      </c>
      <c r="S112" s="208">
        <v>0</v>
      </c>
      <c r="T112" s="208">
        <v>0.9009009009009008</v>
      </c>
      <c r="U112" s="280" t="s">
        <v>2012</v>
      </c>
    </row>
    <row r="113" spans="1:21" x14ac:dyDescent="0.25">
      <c r="A113" s="211" t="s">
        <v>2650</v>
      </c>
      <c r="B113" s="209" t="s">
        <v>2607</v>
      </c>
      <c r="C113" s="209" t="s">
        <v>1911</v>
      </c>
      <c r="D113" s="209" t="s">
        <v>438</v>
      </c>
      <c r="E113" s="209" t="s">
        <v>1914</v>
      </c>
      <c r="F113" s="208">
        <v>6.9719444444444438E-3</v>
      </c>
      <c r="G113" s="208">
        <v>3.1445000000000003</v>
      </c>
      <c r="H113" s="209" t="s">
        <v>1916</v>
      </c>
      <c r="I113" s="209" t="s">
        <v>182</v>
      </c>
      <c r="J113" s="209" t="s">
        <v>1924</v>
      </c>
      <c r="K113" s="212" t="s">
        <v>2798</v>
      </c>
      <c r="L113" s="209"/>
      <c r="M113" s="208">
        <v>0</v>
      </c>
      <c r="N113" s="208">
        <v>1</v>
      </c>
      <c r="O113" s="208">
        <v>0</v>
      </c>
      <c r="P113" s="208">
        <v>1.1619999999999999</v>
      </c>
      <c r="Q113" s="208">
        <v>0</v>
      </c>
      <c r="R113" s="208">
        <v>0.86058519793459554</v>
      </c>
      <c r="S113" s="208">
        <v>0</v>
      </c>
      <c r="T113" s="208">
        <v>1</v>
      </c>
      <c r="U113" s="280" t="s">
        <v>2604</v>
      </c>
    </row>
    <row r="114" spans="1:21" x14ac:dyDescent="0.25">
      <c r="A114" s="211" t="s">
        <v>2465</v>
      </c>
      <c r="B114" s="209" t="s">
        <v>2466</v>
      </c>
      <c r="C114" s="209" t="s">
        <v>2467</v>
      </c>
      <c r="D114" s="209" t="s">
        <v>450</v>
      </c>
      <c r="E114" s="209" t="s">
        <v>1914</v>
      </c>
      <c r="F114" s="208">
        <v>1.1299999999999999E-2</v>
      </c>
      <c r="G114" s="208">
        <v>3.0449999999999999</v>
      </c>
      <c r="H114" s="209" t="s">
        <v>1916</v>
      </c>
      <c r="I114" s="209" t="s">
        <v>182</v>
      </c>
      <c r="J114" s="209" t="s">
        <v>1924</v>
      </c>
      <c r="K114" s="212" t="s">
        <v>2798</v>
      </c>
      <c r="L114" s="209"/>
      <c r="M114" s="208">
        <v>0</v>
      </c>
      <c r="N114" s="208">
        <v>1.1389521640091116</v>
      </c>
      <c r="O114" s="208">
        <v>0</v>
      </c>
      <c r="P114" s="208">
        <v>1.2224938875305624</v>
      </c>
      <c r="Q114" s="208">
        <v>0</v>
      </c>
      <c r="R114" s="208">
        <v>0.81799999999999995</v>
      </c>
      <c r="S114" s="208">
        <v>0</v>
      </c>
      <c r="T114" s="208">
        <v>0.878</v>
      </c>
      <c r="U114" s="280" t="s">
        <v>2468</v>
      </c>
    </row>
    <row r="115" spans="1:21" x14ac:dyDescent="0.25">
      <c r="A115" s="211" t="s">
        <v>1469</v>
      </c>
      <c r="B115" s="209" t="s">
        <v>2466</v>
      </c>
      <c r="C115" s="209" t="s">
        <v>2469</v>
      </c>
      <c r="D115" s="209" t="s">
        <v>450</v>
      </c>
      <c r="E115" s="209" t="s">
        <v>1914</v>
      </c>
      <c r="F115" s="208">
        <v>1.1299999999999999E-2</v>
      </c>
      <c r="G115" s="208">
        <v>3.0449999999999999</v>
      </c>
      <c r="H115" s="209" t="s">
        <v>1916</v>
      </c>
      <c r="I115" s="209" t="s">
        <v>182</v>
      </c>
      <c r="J115" s="209" t="s">
        <v>1924</v>
      </c>
      <c r="K115" s="212" t="s">
        <v>2798</v>
      </c>
      <c r="L115" s="209"/>
      <c r="M115" s="208">
        <v>0</v>
      </c>
      <c r="N115" s="208">
        <v>1.1389521640091116</v>
      </c>
      <c r="O115" s="208">
        <v>0</v>
      </c>
      <c r="P115" s="208">
        <v>1.2224938875305624</v>
      </c>
      <c r="Q115" s="208">
        <v>0</v>
      </c>
      <c r="R115" s="208">
        <v>0.81799999999999995</v>
      </c>
      <c r="S115" s="208">
        <v>0</v>
      </c>
      <c r="T115" s="208">
        <v>0.878</v>
      </c>
      <c r="U115" s="280" t="s">
        <v>2468</v>
      </c>
    </row>
    <row r="116" spans="1:21" x14ac:dyDescent="0.25">
      <c r="A116" s="211" t="s">
        <v>1471</v>
      </c>
      <c r="B116" s="209" t="s">
        <v>2466</v>
      </c>
      <c r="C116" s="209" t="s">
        <v>2470</v>
      </c>
      <c r="D116" s="209" t="s">
        <v>450</v>
      </c>
      <c r="E116" s="209" t="s">
        <v>1914</v>
      </c>
      <c r="F116" s="208">
        <v>1.1299999999999999E-2</v>
      </c>
      <c r="G116" s="208">
        <v>3.0449999999999999</v>
      </c>
      <c r="H116" s="209" t="s">
        <v>1916</v>
      </c>
      <c r="I116" s="209" t="s">
        <v>182</v>
      </c>
      <c r="J116" s="209" t="s">
        <v>1924</v>
      </c>
      <c r="K116" s="212" t="s">
        <v>2798</v>
      </c>
      <c r="L116" s="209"/>
      <c r="M116" s="208">
        <v>0</v>
      </c>
      <c r="N116" s="208">
        <v>1.1389521640091116</v>
      </c>
      <c r="O116" s="208">
        <v>0</v>
      </c>
      <c r="P116" s="208">
        <v>1.2224938875305624</v>
      </c>
      <c r="Q116" s="208">
        <v>0</v>
      </c>
      <c r="R116" s="208">
        <v>0.81799999999999995</v>
      </c>
      <c r="S116" s="208">
        <v>0</v>
      </c>
      <c r="T116" s="208">
        <v>0.878</v>
      </c>
      <c r="U116" s="280" t="s">
        <v>2468</v>
      </c>
    </row>
    <row r="117" spans="1:21" x14ac:dyDescent="0.25">
      <c r="A117" s="211" t="s">
        <v>2472</v>
      </c>
      <c r="B117" s="209" t="s">
        <v>2466</v>
      </c>
      <c r="C117" s="209" t="s">
        <v>2473</v>
      </c>
      <c r="D117" s="209" t="s">
        <v>450</v>
      </c>
      <c r="E117" s="209" t="s">
        <v>1914</v>
      </c>
      <c r="F117" s="208">
        <v>1.1299999999999999E-2</v>
      </c>
      <c r="G117" s="208">
        <v>3.0449999999999999</v>
      </c>
      <c r="H117" s="209" t="s">
        <v>1916</v>
      </c>
      <c r="I117" s="209" t="s">
        <v>182</v>
      </c>
      <c r="J117" s="209" t="s">
        <v>1924</v>
      </c>
      <c r="K117" s="212" t="s">
        <v>2798</v>
      </c>
      <c r="L117" s="209"/>
      <c r="M117" s="208">
        <v>0</v>
      </c>
      <c r="N117" s="208">
        <v>1.1389521640091116</v>
      </c>
      <c r="O117" s="208">
        <v>0</v>
      </c>
      <c r="P117" s="208">
        <v>1.2224938875305624</v>
      </c>
      <c r="Q117" s="208">
        <v>0</v>
      </c>
      <c r="R117" s="208">
        <v>0.81799999999999995</v>
      </c>
      <c r="S117" s="208">
        <v>0</v>
      </c>
      <c r="T117" s="208">
        <v>0.878</v>
      </c>
      <c r="U117" s="280" t="s">
        <v>2468</v>
      </c>
    </row>
    <row r="118" spans="1:21" x14ac:dyDescent="0.25">
      <c r="A118" s="211" t="s">
        <v>1475</v>
      </c>
      <c r="B118" s="209" t="s">
        <v>2466</v>
      </c>
      <c r="C118" s="209" t="s">
        <v>2471</v>
      </c>
      <c r="D118" s="209" t="s">
        <v>450</v>
      </c>
      <c r="E118" s="209" t="s">
        <v>1914</v>
      </c>
      <c r="F118" s="208">
        <v>1.1299999999999999E-2</v>
      </c>
      <c r="G118" s="208">
        <v>3.0449999999999999</v>
      </c>
      <c r="H118" s="209" t="s">
        <v>1916</v>
      </c>
      <c r="I118" s="209" t="s">
        <v>182</v>
      </c>
      <c r="J118" s="209" t="s">
        <v>1924</v>
      </c>
      <c r="K118" s="212" t="s">
        <v>2798</v>
      </c>
      <c r="L118" s="209"/>
      <c r="M118" s="208">
        <v>0</v>
      </c>
      <c r="N118" s="208">
        <v>1.1389521640091116</v>
      </c>
      <c r="O118" s="208">
        <v>0</v>
      </c>
      <c r="P118" s="208">
        <v>1.2224938875305624</v>
      </c>
      <c r="Q118" s="208">
        <v>0</v>
      </c>
      <c r="R118" s="208">
        <v>0.81799999999999995</v>
      </c>
      <c r="S118" s="208">
        <v>0</v>
      </c>
      <c r="T118" s="208">
        <v>0.878</v>
      </c>
      <c r="U118" s="280" t="s">
        <v>2468</v>
      </c>
    </row>
    <row r="119" spans="1:21" x14ac:dyDescent="0.25">
      <c r="A119" s="211" t="s">
        <v>1485</v>
      </c>
      <c r="B119" s="209" t="s">
        <v>2466</v>
      </c>
      <c r="C119" s="209" t="s">
        <v>2474</v>
      </c>
      <c r="D119" s="209" t="s">
        <v>450</v>
      </c>
      <c r="E119" s="209" t="s">
        <v>1914</v>
      </c>
      <c r="F119" s="208">
        <v>1.1299999999999999E-2</v>
      </c>
      <c r="G119" s="208">
        <v>3.0449999999999999</v>
      </c>
      <c r="H119" s="209" t="s">
        <v>1916</v>
      </c>
      <c r="I119" s="209" t="s">
        <v>182</v>
      </c>
      <c r="J119" s="209" t="s">
        <v>1924</v>
      </c>
      <c r="K119" s="212" t="s">
        <v>2798</v>
      </c>
      <c r="L119" s="209"/>
      <c r="M119" s="208">
        <v>0</v>
      </c>
      <c r="N119" s="208">
        <v>1.1389521640091116</v>
      </c>
      <c r="O119" s="208">
        <v>0</v>
      </c>
      <c r="P119" s="208">
        <v>1.2224938875305624</v>
      </c>
      <c r="Q119" s="208">
        <v>0</v>
      </c>
      <c r="R119" s="208">
        <v>0.81799999999999995</v>
      </c>
      <c r="S119" s="208">
        <v>0</v>
      </c>
      <c r="T119" s="208">
        <v>0.878</v>
      </c>
      <c r="U119" s="280" t="s">
        <v>2468</v>
      </c>
    </row>
    <row r="120" spans="1:21" x14ac:dyDescent="0.25">
      <c r="A120" s="211" t="s">
        <v>1148</v>
      </c>
      <c r="B120" s="209" t="s">
        <v>1911</v>
      </c>
      <c r="C120" s="209" t="s">
        <v>2269</v>
      </c>
      <c r="D120" s="209" t="s">
        <v>456</v>
      </c>
      <c r="E120" s="209" t="s">
        <v>1919</v>
      </c>
      <c r="F120" s="208">
        <v>7.6175000000000001E-3</v>
      </c>
      <c r="G120" s="208">
        <v>3.16675</v>
      </c>
      <c r="H120" s="209" t="s">
        <v>1916</v>
      </c>
      <c r="I120" s="209" t="s">
        <v>182</v>
      </c>
      <c r="J120" s="209" t="s">
        <v>1924</v>
      </c>
      <c r="K120" s="212" t="s">
        <v>2798</v>
      </c>
      <c r="L120" s="209"/>
      <c r="M120" s="208">
        <v>0</v>
      </c>
      <c r="N120" s="208">
        <v>1.0680000000000001</v>
      </c>
      <c r="O120" s="208">
        <v>0</v>
      </c>
      <c r="P120" s="208">
        <v>1.1759999999999999</v>
      </c>
      <c r="Q120" s="218" t="s">
        <v>147</v>
      </c>
      <c r="R120" s="218" t="s">
        <v>147</v>
      </c>
      <c r="S120" s="208">
        <v>8.1000000000000003E-2</v>
      </c>
      <c r="T120" s="208">
        <v>0.93400000000000005</v>
      </c>
      <c r="U120" s="280" t="s">
        <v>2270</v>
      </c>
    </row>
    <row r="121" spans="1:21" x14ac:dyDescent="0.25">
      <c r="A121" s="211" t="s">
        <v>1150</v>
      </c>
      <c r="B121" s="209" t="s">
        <v>1911</v>
      </c>
      <c r="C121" s="209" t="s">
        <v>2268</v>
      </c>
      <c r="D121" s="209" t="s">
        <v>456</v>
      </c>
      <c r="E121" s="209" t="s">
        <v>1919</v>
      </c>
      <c r="F121" s="208">
        <v>7.6175000000000001E-3</v>
      </c>
      <c r="G121" s="208">
        <v>3.16675</v>
      </c>
      <c r="H121" s="209" t="s">
        <v>1916</v>
      </c>
      <c r="I121" s="209" t="s">
        <v>182</v>
      </c>
      <c r="J121" s="209" t="s">
        <v>1924</v>
      </c>
      <c r="K121" s="212" t="s">
        <v>2798</v>
      </c>
      <c r="L121" s="209"/>
      <c r="M121" s="208">
        <v>0</v>
      </c>
      <c r="N121" s="208">
        <v>1.0680000000000001</v>
      </c>
      <c r="O121" s="208">
        <v>0</v>
      </c>
      <c r="P121" s="208">
        <v>1.1759999999999999</v>
      </c>
      <c r="Q121" s="218" t="s">
        <v>147</v>
      </c>
      <c r="R121" s="218" t="s">
        <v>147</v>
      </c>
      <c r="S121" s="208">
        <v>8.1000000000000003E-2</v>
      </c>
      <c r="T121" s="208">
        <v>0.93400000000000005</v>
      </c>
      <c r="U121" s="280" t="s">
        <v>2105</v>
      </c>
    </row>
    <row r="122" spans="1:21" x14ac:dyDescent="0.25">
      <c r="A122" s="211" t="s">
        <v>2271</v>
      </c>
      <c r="B122" s="209" t="s">
        <v>1911</v>
      </c>
      <c r="C122" s="209" t="s">
        <v>2272</v>
      </c>
      <c r="D122" s="209" t="s">
        <v>456</v>
      </c>
      <c r="E122" s="209" t="s">
        <v>1919</v>
      </c>
      <c r="F122" s="208">
        <v>7.6175000000000001E-3</v>
      </c>
      <c r="G122" s="208">
        <v>3.16675</v>
      </c>
      <c r="H122" s="209" t="s">
        <v>1916</v>
      </c>
      <c r="I122" s="209" t="s">
        <v>182</v>
      </c>
      <c r="J122" s="209" t="s">
        <v>1924</v>
      </c>
      <c r="K122" s="212" t="s">
        <v>2798</v>
      </c>
      <c r="L122" s="209"/>
      <c r="M122" s="208">
        <v>0</v>
      </c>
      <c r="N122" s="208">
        <v>1.0680000000000001</v>
      </c>
      <c r="O122" s="208">
        <v>0</v>
      </c>
      <c r="P122" s="208">
        <v>1.1759999999999999</v>
      </c>
      <c r="Q122" s="218" t="s">
        <v>147</v>
      </c>
      <c r="R122" s="218" t="s">
        <v>147</v>
      </c>
      <c r="S122" s="208">
        <v>8.1000000000000003E-2</v>
      </c>
      <c r="T122" s="208">
        <v>0.93400000000000005</v>
      </c>
      <c r="U122" s="280" t="s">
        <v>2270</v>
      </c>
    </row>
    <row r="123" spans="1:21" x14ac:dyDescent="0.25">
      <c r="A123" s="211" t="s">
        <v>1378</v>
      </c>
      <c r="B123" s="209" t="s">
        <v>2421</v>
      </c>
      <c r="C123" s="209" t="s">
        <v>2424</v>
      </c>
      <c r="D123" s="209" t="s">
        <v>463</v>
      </c>
      <c r="E123" s="209" t="s">
        <v>1914</v>
      </c>
      <c r="F123" s="208">
        <v>1.8204285714285704E-2</v>
      </c>
      <c r="G123" s="208">
        <v>2.9027654761904764</v>
      </c>
      <c r="H123" s="209" t="s">
        <v>1916</v>
      </c>
      <c r="I123" s="209" t="s">
        <v>182</v>
      </c>
      <c r="J123" s="209" t="s">
        <v>1924</v>
      </c>
      <c r="K123" s="212" t="s">
        <v>2798</v>
      </c>
      <c r="L123" s="209"/>
      <c r="M123" s="208">
        <v>0</v>
      </c>
      <c r="N123" s="208">
        <v>1.1339999999999999</v>
      </c>
      <c r="O123" s="208">
        <v>0</v>
      </c>
      <c r="P123" s="208">
        <v>1.2450000000000001</v>
      </c>
      <c r="Q123" s="208">
        <v>0</v>
      </c>
      <c r="R123" s="208">
        <v>0.80321285140562237</v>
      </c>
      <c r="S123" s="208">
        <v>0</v>
      </c>
      <c r="T123" s="208">
        <v>0.88183421516754856</v>
      </c>
      <c r="U123" s="280" t="s">
        <v>2423</v>
      </c>
    </row>
    <row r="124" spans="1:21" x14ac:dyDescent="0.25">
      <c r="A124" s="209" t="s">
        <v>1374</v>
      </c>
      <c r="B124" s="209" t="s">
        <v>2421</v>
      </c>
      <c r="C124" s="209" t="s">
        <v>2422</v>
      </c>
      <c r="D124" s="209" t="s">
        <v>459</v>
      </c>
      <c r="E124" s="209" t="s">
        <v>1919</v>
      </c>
      <c r="F124" s="208">
        <v>1.8204285714285704E-2</v>
      </c>
      <c r="G124" s="208">
        <v>2.9027654761904764</v>
      </c>
      <c r="H124" s="209" t="s">
        <v>1916</v>
      </c>
      <c r="I124" s="209" t="s">
        <v>182</v>
      </c>
      <c r="J124" s="209" t="s">
        <v>1924</v>
      </c>
      <c r="K124" s="212" t="s">
        <v>2798</v>
      </c>
      <c r="L124" s="209"/>
      <c r="M124" s="208">
        <v>0</v>
      </c>
      <c r="N124" s="208">
        <v>1.1339999999999999</v>
      </c>
      <c r="O124" s="208">
        <v>0</v>
      </c>
      <c r="P124" s="208">
        <v>1.2450000000000001</v>
      </c>
      <c r="Q124" s="208">
        <v>0</v>
      </c>
      <c r="R124" s="208">
        <v>0.80321285140562237</v>
      </c>
      <c r="S124" s="208">
        <v>0</v>
      </c>
      <c r="T124" s="208">
        <v>0.88183421516754856</v>
      </c>
      <c r="U124" s="280" t="s">
        <v>2423</v>
      </c>
    </row>
    <row r="125" spans="1:21" x14ac:dyDescent="0.25">
      <c r="A125" s="211" t="s">
        <v>1381</v>
      </c>
      <c r="B125" s="209" t="s">
        <v>2421</v>
      </c>
      <c r="C125" s="209" t="s">
        <v>2425</v>
      </c>
      <c r="D125" s="209" t="s">
        <v>459</v>
      </c>
      <c r="E125" s="209" t="s">
        <v>1919</v>
      </c>
      <c r="F125" s="208">
        <v>1.8204285714285704E-2</v>
      </c>
      <c r="G125" s="208">
        <v>2.9027654761904764</v>
      </c>
      <c r="H125" s="209" t="s">
        <v>1916</v>
      </c>
      <c r="I125" s="209" t="s">
        <v>182</v>
      </c>
      <c r="J125" s="209" t="s">
        <v>1924</v>
      </c>
      <c r="K125" s="212" t="s">
        <v>2798</v>
      </c>
      <c r="L125" s="209"/>
      <c r="M125" s="208">
        <v>0</v>
      </c>
      <c r="N125" s="208">
        <v>1.1339999999999999</v>
      </c>
      <c r="O125" s="208">
        <v>0</v>
      </c>
      <c r="P125" s="208">
        <v>1.2450000000000001</v>
      </c>
      <c r="Q125" s="208">
        <v>0</v>
      </c>
      <c r="R125" s="208">
        <v>0.80321285140562237</v>
      </c>
      <c r="S125" s="208">
        <v>0</v>
      </c>
      <c r="T125" s="208">
        <v>0.88183421516754856</v>
      </c>
      <c r="U125" s="280" t="s">
        <v>2423</v>
      </c>
    </row>
    <row r="126" spans="1:21" x14ac:dyDescent="0.25">
      <c r="A126" s="211" t="s">
        <v>1383</v>
      </c>
      <c r="B126" s="209" t="s">
        <v>2421</v>
      </c>
      <c r="C126" s="209" t="s">
        <v>2427</v>
      </c>
      <c r="D126" s="209" t="s">
        <v>459</v>
      </c>
      <c r="E126" s="209" t="s">
        <v>1919</v>
      </c>
      <c r="F126" s="208">
        <v>1.8204285714285704E-2</v>
      </c>
      <c r="G126" s="208">
        <v>2.9027654761904764</v>
      </c>
      <c r="H126" s="209" t="s">
        <v>1916</v>
      </c>
      <c r="I126" s="209" t="s">
        <v>182</v>
      </c>
      <c r="J126" s="209" t="s">
        <v>1924</v>
      </c>
      <c r="K126" s="212" t="s">
        <v>2798</v>
      </c>
      <c r="L126" s="209"/>
      <c r="M126" s="208">
        <v>0</v>
      </c>
      <c r="N126" s="208">
        <v>1.1339999999999999</v>
      </c>
      <c r="O126" s="208">
        <v>0</v>
      </c>
      <c r="P126" s="208">
        <v>1.2450000000000001</v>
      </c>
      <c r="Q126" s="208">
        <v>0</v>
      </c>
      <c r="R126" s="208">
        <v>0.80321285140562237</v>
      </c>
      <c r="S126" s="208">
        <v>0</v>
      </c>
      <c r="T126" s="208">
        <v>0.88183421516754856</v>
      </c>
      <c r="U126" s="280" t="s">
        <v>2423</v>
      </c>
    </row>
    <row r="127" spans="1:21" x14ac:dyDescent="0.25">
      <c r="A127" s="211" t="s">
        <v>2428</v>
      </c>
      <c r="B127" s="209" t="s">
        <v>2421</v>
      </c>
      <c r="C127" s="209" t="s">
        <v>2429</v>
      </c>
      <c r="D127" s="209" t="s">
        <v>459</v>
      </c>
      <c r="E127" s="209" t="s">
        <v>1919</v>
      </c>
      <c r="F127" s="208">
        <v>1.8204285714285704E-2</v>
      </c>
      <c r="G127" s="208">
        <v>2.9027654761904764</v>
      </c>
      <c r="H127" s="209" t="s">
        <v>1916</v>
      </c>
      <c r="I127" s="209" t="s">
        <v>182</v>
      </c>
      <c r="J127" s="209" t="s">
        <v>1924</v>
      </c>
      <c r="K127" s="212" t="s">
        <v>2798</v>
      </c>
      <c r="L127" s="209"/>
      <c r="M127" s="208">
        <v>0</v>
      </c>
      <c r="N127" s="208">
        <v>1.1339999999999999</v>
      </c>
      <c r="O127" s="208">
        <v>0</v>
      </c>
      <c r="P127" s="208">
        <v>1.2450000000000001</v>
      </c>
      <c r="Q127" s="208">
        <v>0</v>
      </c>
      <c r="R127" s="208">
        <v>0.80321285140562237</v>
      </c>
      <c r="S127" s="208">
        <v>0</v>
      </c>
      <c r="T127" s="208">
        <v>0.88183421516754856</v>
      </c>
      <c r="U127" s="280" t="s">
        <v>2423</v>
      </c>
    </row>
    <row r="128" spans="1:21" x14ac:dyDescent="0.25">
      <c r="A128" s="211" t="s">
        <v>1418</v>
      </c>
      <c r="B128" s="209" t="s">
        <v>2421</v>
      </c>
      <c r="C128" s="209" t="s">
        <v>2430</v>
      </c>
      <c r="D128" s="209" t="s">
        <v>459</v>
      </c>
      <c r="E128" s="209" t="s">
        <v>1919</v>
      </c>
      <c r="F128" s="208">
        <v>1.8204285714285704E-2</v>
      </c>
      <c r="G128" s="208">
        <v>2.9027654761904764</v>
      </c>
      <c r="H128" s="209" t="s">
        <v>1916</v>
      </c>
      <c r="I128" s="209" t="s">
        <v>182</v>
      </c>
      <c r="J128" s="209" t="s">
        <v>1924</v>
      </c>
      <c r="K128" s="212" t="s">
        <v>2798</v>
      </c>
      <c r="L128" s="209"/>
      <c r="M128" s="208">
        <v>0</v>
      </c>
      <c r="N128" s="208">
        <v>1.1339999999999999</v>
      </c>
      <c r="O128" s="208">
        <v>0</v>
      </c>
      <c r="P128" s="208">
        <v>1.2450000000000001</v>
      </c>
      <c r="Q128" s="208">
        <v>0</v>
      </c>
      <c r="R128" s="208">
        <v>0.80321285140562237</v>
      </c>
      <c r="S128" s="208">
        <v>0</v>
      </c>
      <c r="T128" s="208">
        <v>0.88183421516754856</v>
      </c>
      <c r="U128" s="280" t="s">
        <v>2423</v>
      </c>
    </row>
    <row r="129" spans="1:21" x14ac:dyDescent="0.25">
      <c r="A129" s="211" t="s">
        <v>1426</v>
      </c>
      <c r="B129" s="209" t="s">
        <v>2421</v>
      </c>
      <c r="C129" s="209" t="s">
        <v>2432</v>
      </c>
      <c r="D129" s="209" t="s">
        <v>459</v>
      </c>
      <c r="E129" s="209" t="s">
        <v>1919</v>
      </c>
      <c r="F129" s="208">
        <v>1.8204285714285704E-2</v>
      </c>
      <c r="G129" s="208">
        <v>2.9027654761904764</v>
      </c>
      <c r="H129" s="209" t="s">
        <v>1916</v>
      </c>
      <c r="I129" s="209" t="s">
        <v>182</v>
      </c>
      <c r="J129" s="209" t="s">
        <v>1924</v>
      </c>
      <c r="K129" s="212" t="s">
        <v>2798</v>
      </c>
      <c r="L129" s="209"/>
      <c r="M129" s="208">
        <v>0</v>
      </c>
      <c r="N129" s="208">
        <v>1.1339999999999999</v>
      </c>
      <c r="O129" s="208">
        <v>0</v>
      </c>
      <c r="P129" s="208">
        <v>1.2450000000000001</v>
      </c>
      <c r="Q129" s="208">
        <v>0</v>
      </c>
      <c r="R129" s="208">
        <v>0.80321285140562237</v>
      </c>
      <c r="S129" s="208">
        <v>0</v>
      </c>
      <c r="T129" s="208">
        <v>0.88183421516754856</v>
      </c>
      <c r="U129" s="280" t="s">
        <v>2423</v>
      </c>
    </row>
    <row r="130" spans="1:21" x14ac:dyDescent="0.25">
      <c r="A130" s="211" t="s">
        <v>1395</v>
      </c>
      <c r="B130" s="209" t="s">
        <v>2421</v>
      </c>
      <c r="C130" s="209" t="s">
        <v>2433</v>
      </c>
      <c r="D130" s="209" t="s">
        <v>459</v>
      </c>
      <c r="E130" s="209" t="s">
        <v>1919</v>
      </c>
      <c r="F130" s="208">
        <v>1.8204285714285704E-2</v>
      </c>
      <c r="G130" s="208">
        <v>2.9027654761904764</v>
      </c>
      <c r="H130" s="209" t="s">
        <v>1916</v>
      </c>
      <c r="I130" s="209" t="s">
        <v>182</v>
      </c>
      <c r="J130" s="209" t="s">
        <v>1924</v>
      </c>
      <c r="K130" s="212" t="s">
        <v>2798</v>
      </c>
      <c r="L130" s="209"/>
      <c r="M130" s="208">
        <v>0</v>
      </c>
      <c r="N130" s="208">
        <v>1.1339999999999999</v>
      </c>
      <c r="O130" s="208">
        <v>0</v>
      </c>
      <c r="P130" s="208">
        <v>1.2450000000000001</v>
      </c>
      <c r="Q130" s="208">
        <v>0</v>
      </c>
      <c r="R130" s="208">
        <v>0.80321285140562237</v>
      </c>
      <c r="S130" s="208">
        <v>0</v>
      </c>
      <c r="T130" s="208">
        <v>0.88183421516754856</v>
      </c>
      <c r="U130" s="280" t="s">
        <v>2423</v>
      </c>
    </row>
    <row r="131" spans="1:21" x14ac:dyDescent="0.25">
      <c r="A131" s="211" t="s">
        <v>1397</v>
      </c>
      <c r="B131" s="209" t="s">
        <v>2421</v>
      </c>
      <c r="C131" s="209" t="s">
        <v>2434</v>
      </c>
      <c r="D131" s="209" t="s">
        <v>456</v>
      </c>
      <c r="E131" s="209" t="s">
        <v>1919</v>
      </c>
      <c r="F131" s="208">
        <v>1.8204285714285704E-2</v>
      </c>
      <c r="G131" s="208">
        <v>2.9027654761904764</v>
      </c>
      <c r="H131" s="209" t="s">
        <v>1916</v>
      </c>
      <c r="I131" s="209" t="s">
        <v>182</v>
      </c>
      <c r="J131" s="209" t="s">
        <v>1924</v>
      </c>
      <c r="K131" s="212" t="s">
        <v>2798</v>
      </c>
      <c r="L131" s="209"/>
      <c r="M131" s="208">
        <v>0</v>
      </c>
      <c r="N131" s="208">
        <v>1.1339999999999999</v>
      </c>
      <c r="O131" s="208">
        <v>0</v>
      </c>
      <c r="P131" s="208">
        <v>1.2450000000000001</v>
      </c>
      <c r="Q131" s="208">
        <v>0</v>
      </c>
      <c r="R131" s="208">
        <v>0.80321285140562237</v>
      </c>
      <c r="S131" s="208">
        <v>0</v>
      </c>
      <c r="T131" s="208">
        <v>0.88183421516754856</v>
      </c>
      <c r="U131" s="280" t="s">
        <v>2423</v>
      </c>
    </row>
    <row r="132" spans="1:21" x14ac:dyDescent="0.25">
      <c r="A132" s="211" t="s">
        <v>2435</v>
      </c>
      <c r="B132" s="209" t="s">
        <v>2421</v>
      </c>
      <c r="C132" s="209" t="s">
        <v>2436</v>
      </c>
      <c r="D132" s="209" t="s">
        <v>459</v>
      </c>
      <c r="E132" s="209" t="s">
        <v>1919</v>
      </c>
      <c r="F132" s="208">
        <v>1.8204285714285704E-2</v>
      </c>
      <c r="G132" s="208">
        <v>2.9027654761904764</v>
      </c>
      <c r="H132" s="209" t="s">
        <v>1916</v>
      </c>
      <c r="I132" s="209" t="s">
        <v>182</v>
      </c>
      <c r="J132" s="209" t="s">
        <v>1924</v>
      </c>
      <c r="K132" s="212" t="s">
        <v>2798</v>
      </c>
      <c r="L132" s="209"/>
      <c r="M132" s="208">
        <v>0</v>
      </c>
      <c r="N132" s="208">
        <v>1.1339999999999999</v>
      </c>
      <c r="O132" s="208">
        <v>0</v>
      </c>
      <c r="P132" s="208">
        <v>1.2450000000000001</v>
      </c>
      <c r="Q132" s="208">
        <v>0</v>
      </c>
      <c r="R132" s="208">
        <v>0.80321285140562237</v>
      </c>
      <c r="S132" s="208">
        <v>0</v>
      </c>
      <c r="T132" s="208">
        <v>0.88183421516754856</v>
      </c>
      <c r="U132" s="280" t="s">
        <v>2423</v>
      </c>
    </row>
    <row r="133" spans="1:21" x14ac:dyDescent="0.25">
      <c r="A133" s="211" t="s">
        <v>1416</v>
      </c>
      <c r="B133" s="209" t="s">
        <v>2421</v>
      </c>
      <c r="C133" s="209" t="s">
        <v>2438</v>
      </c>
      <c r="D133" s="209" t="s">
        <v>459</v>
      </c>
      <c r="E133" s="209" t="s">
        <v>1919</v>
      </c>
      <c r="F133" s="208">
        <v>1.8204285714285704E-2</v>
      </c>
      <c r="G133" s="208">
        <v>2.9027654761904764</v>
      </c>
      <c r="H133" s="209" t="s">
        <v>1916</v>
      </c>
      <c r="I133" s="209" t="s">
        <v>182</v>
      </c>
      <c r="J133" s="209" t="s">
        <v>1924</v>
      </c>
      <c r="K133" s="212" t="s">
        <v>2798</v>
      </c>
      <c r="L133" s="209"/>
      <c r="M133" s="208">
        <v>0</v>
      </c>
      <c r="N133" s="208">
        <v>1.1339999999999999</v>
      </c>
      <c r="O133" s="208">
        <v>0</v>
      </c>
      <c r="P133" s="208">
        <v>1.2450000000000001</v>
      </c>
      <c r="Q133" s="208">
        <v>0</v>
      </c>
      <c r="R133" s="208">
        <v>0.80321285140562237</v>
      </c>
      <c r="S133" s="208">
        <v>0</v>
      </c>
      <c r="T133" s="208">
        <v>0.88183421516754856</v>
      </c>
      <c r="U133" s="280" t="s">
        <v>2423</v>
      </c>
    </row>
    <row r="134" spans="1:21" x14ac:dyDescent="0.25">
      <c r="A134" s="211" t="s">
        <v>1399</v>
      </c>
      <c r="B134" s="209" t="s">
        <v>2421</v>
      </c>
      <c r="C134" s="209" t="s">
        <v>2437</v>
      </c>
      <c r="D134" s="209" t="s">
        <v>459</v>
      </c>
      <c r="E134" s="209" t="s">
        <v>1919</v>
      </c>
      <c r="F134" s="208">
        <v>1.8204285714285704E-2</v>
      </c>
      <c r="G134" s="208">
        <v>2.9027654761904764</v>
      </c>
      <c r="H134" s="209" t="s">
        <v>1916</v>
      </c>
      <c r="I134" s="209" t="s">
        <v>182</v>
      </c>
      <c r="J134" s="209" t="s">
        <v>1924</v>
      </c>
      <c r="K134" s="212" t="s">
        <v>2798</v>
      </c>
      <c r="L134" s="209"/>
      <c r="M134" s="208">
        <v>0</v>
      </c>
      <c r="N134" s="208">
        <v>1.1339999999999999</v>
      </c>
      <c r="O134" s="208">
        <v>0</v>
      </c>
      <c r="P134" s="208">
        <v>1.2450000000000001</v>
      </c>
      <c r="Q134" s="208">
        <v>0</v>
      </c>
      <c r="R134" s="208">
        <v>0.80321285140562237</v>
      </c>
      <c r="S134" s="208">
        <v>0</v>
      </c>
      <c r="T134" s="208">
        <v>0.88183421516754856</v>
      </c>
      <c r="U134" s="280" t="s">
        <v>2423</v>
      </c>
    </row>
    <row r="135" spans="1:21" x14ac:dyDescent="0.25">
      <c r="A135" s="211" t="s">
        <v>2439</v>
      </c>
      <c r="B135" s="209" t="s">
        <v>2421</v>
      </c>
      <c r="C135" s="209" t="s">
        <v>2440</v>
      </c>
      <c r="D135" s="209" t="s">
        <v>459</v>
      </c>
      <c r="E135" s="209" t="s">
        <v>1919</v>
      </c>
      <c r="F135" s="208">
        <v>1.8204285714285704E-2</v>
      </c>
      <c r="G135" s="208">
        <v>2.9027654761904764</v>
      </c>
      <c r="H135" s="209" t="s">
        <v>1916</v>
      </c>
      <c r="I135" s="209" t="s">
        <v>182</v>
      </c>
      <c r="J135" s="209" t="s">
        <v>1924</v>
      </c>
      <c r="K135" s="212" t="s">
        <v>2798</v>
      </c>
      <c r="L135" s="209"/>
      <c r="M135" s="208">
        <v>0</v>
      </c>
      <c r="N135" s="208">
        <v>1.1339999999999999</v>
      </c>
      <c r="O135" s="208">
        <v>0</v>
      </c>
      <c r="P135" s="208">
        <v>1.2450000000000001</v>
      </c>
      <c r="Q135" s="208">
        <v>0</v>
      </c>
      <c r="R135" s="208">
        <v>0.80321285140562237</v>
      </c>
      <c r="S135" s="208">
        <v>0</v>
      </c>
      <c r="T135" s="208">
        <v>0.88183421516754856</v>
      </c>
      <c r="U135" s="280" t="s">
        <v>2423</v>
      </c>
    </row>
    <row r="136" spans="1:21" x14ac:dyDescent="0.25">
      <c r="A136" s="211" t="s">
        <v>1404</v>
      </c>
      <c r="B136" s="209" t="s">
        <v>2421</v>
      </c>
      <c r="C136" s="209" t="s">
        <v>2442</v>
      </c>
      <c r="D136" s="209" t="s">
        <v>459</v>
      </c>
      <c r="E136" s="209" t="s">
        <v>1919</v>
      </c>
      <c r="F136" s="208">
        <v>1.8204285714285704E-2</v>
      </c>
      <c r="G136" s="208">
        <v>2.9027654761904764</v>
      </c>
      <c r="H136" s="209" t="s">
        <v>1916</v>
      </c>
      <c r="I136" s="209" t="s">
        <v>182</v>
      </c>
      <c r="J136" s="209" t="s">
        <v>1924</v>
      </c>
      <c r="K136" s="212" t="s">
        <v>2798</v>
      </c>
      <c r="L136" s="209"/>
      <c r="M136" s="208">
        <v>0</v>
      </c>
      <c r="N136" s="208">
        <v>1.1339999999999999</v>
      </c>
      <c r="O136" s="208">
        <v>0</v>
      </c>
      <c r="P136" s="208">
        <v>1.2450000000000001</v>
      </c>
      <c r="Q136" s="208">
        <v>0</v>
      </c>
      <c r="R136" s="208">
        <v>0.80321285140562237</v>
      </c>
      <c r="S136" s="208">
        <v>0</v>
      </c>
      <c r="T136" s="208">
        <v>0.88183421516754856</v>
      </c>
      <c r="U136" s="280" t="s">
        <v>2423</v>
      </c>
    </row>
    <row r="137" spans="1:21" x14ac:dyDescent="0.25">
      <c r="A137" s="211" t="s">
        <v>1406</v>
      </c>
      <c r="B137" s="209" t="s">
        <v>2421</v>
      </c>
      <c r="C137" s="209" t="s">
        <v>2443</v>
      </c>
      <c r="D137" s="209" t="s">
        <v>459</v>
      </c>
      <c r="E137" s="209" t="s">
        <v>1919</v>
      </c>
      <c r="F137" s="208">
        <v>1.8204285714285704E-2</v>
      </c>
      <c r="G137" s="208">
        <v>2.9027654761904764</v>
      </c>
      <c r="H137" s="209" t="s">
        <v>1916</v>
      </c>
      <c r="I137" s="209" t="s">
        <v>182</v>
      </c>
      <c r="J137" s="209" t="s">
        <v>1924</v>
      </c>
      <c r="K137" s="212" t="s">
        <v>2798</v>
      </c>
      <c r="L137" s="209"/>
      <c r="M137" s="208">
        <v>0</v>
      </c>
      <c r="N137" s="208">
        <v>1.1339999999999999</v>
      </c>
      <c r="O137" s="208">
        <v>0</v>
      </c>
      <c r="P137" s="208">
        <v>1.2450000000000001</v>
      </c>
      <c r="Q137" s="208">
        <v>0</v>
      </c>
      <c r="R137" s="208">
        <v>0.80321285140562237</v>
      </c>
      <c r="S137" s="208">
        <v>0</v>
      </c>
      <c r="T137" s="208">
        <v>0.88183421516754856</v>
      </c>
      <c r="U137" s="280" t="s">
        <v>2423</v>
      </c>
    </row>
    <row r="138" spans="1:21" x14ac:dyDescent="0.25">
      <c r="A138" s="211" t="s">
        <v>1408</v>
      </c>
      <c r="B138" s="209" t="s">
        <v>2421</v>
      </c>
      <c r="C138" s="209" t="s">
        <v>2444</v>
      </c>
      <c r="D138" s="209" t="s">
        <v>459</v>
      </c>
      <c r="E138" s="209" t="s">
        <v>1919</v>
      </c>
      <c r="F138" s="208">
        <v>1.8204285714285704E-2</v>
      </c>
      <c r="G138" s="208">
        <v>2.9027654761904764</v>
      </c>
      <c r="H138" s="209" t="s">
        <v>1916</v>
      </c>
      <c r="I138" s="209" t="s">
        <v>182</v>
      </c>
      <c r="J138" s="209" t="s">
        <v>1924</v>
      </c>
      <c r="K138" s="212" t="s">
        <v>2798</v>
      </c>
      <c r="L138" s="209"/>
      <c r="M138" s="208">
        <v>0</v>
      </c>
      <c r="N138" s="208">
        <v>1.1339999999999999</v>
      </c>
      <c r="O138" s="208">
        <v>0</v>
      </c>
      <c r="P138" s="208">
        <v>1.2450000000000001</v>
      </c>
      <c r="Q138" s="208">
        <v>0</v>
      </c>
      <c r="R138" s="208">
        <v>0.80321285140562237</v>
      </c>
      <c r="S138" s="208">
        <v>0</v>
      </c>
      <c r="T138" s="208">
        <v>0.88183421516754856</v>
      </c>
      <c r="U138" s="280" t="s">
        <v>2423</v>
      </c>
    </row>
    <row r="139" spans="1:21" x14ac:dyDescent="0.25">
      <c r="A139" s="211" t="s">
        <v>1410</v>
      </c>
      <c r="B139" s="209" t="s">
        <v>2421</v>
      </c>
      <c r="C139" s="209" t="s">
        <v>2445</v>
      </c>
      <c r="D139" s="209" t="s">
        <v>459</v>
      </c>
      <c r="E139" s="209" t="s">
        <v>1919</v>
      </c>
      <c r="F139" s="208">
        <v>1.8204285714285704E-2</v>
      </c>
      <c r="G139" s="208">
        <v>2.9027654761904764</v>
      </c>
      <c r="H139" s="209" t="s">
        <v>1916</v>
      </c>
      <c r="I139" s="209" t="s">
        <v>182</v>
      </c>
      <c r="J139" s="209" t="s">
        <v>1924</v>
      </c>
      <c r="K139" s="212" t="s">
        <v>2798</v>
      </c>
      <c r="L139" s="209"/>
      <c r="M139" s="208">
        <v>0</v>
      </c>
      <c r="N139" s="208">
        <v>1.1339999999999999</v>
      </c>
      <c r="O139" s="208">
        <v>0</v>
      </c>
      <c r="P139" s="208">
        <v>1.2450000000000001</v>
      </c>
      <c r="Q139" s="208">
        <v>0</v>
      </c>
      <c r="R139" s="208">
        <v>0.80321285140562237</v>
      </c>
      <c r="S139" s="208">
        <v>0</v>
      </c>
      <c r="T139" s="208">
        <v>0.88183421516754856</v>
      </c>
      <c r="U139" s="280" t="s">
        <v>2423</v>
      </c>
    </row>
    <row r="140" spans="1:21" x14ac:dyDescent="0.25">
      <c r="A140" s="211" t="s">
        <v>1412</v>
      </c>
      <c r="B140" s="209" t="s">
        <v>2421</v>
      </c>
      <c r="C140" s="209" t="s">
        <v>2446</v>
      </c>
      <c r="D140" s="209" t="s">
        <v>459</v>
      </c>
      <c r="E140" s="209" t="s">
        <v>1919</v>
      </c>
      <c r="F140" s="208">
        <v>1.8204285714285704E-2</v>
      </c>
      <c r="G140" s="208">
        <v>2.9027654761904764</v>
      </c>
      <c r="H140" s="209" t="s">
        <v>1916</v>
      </c>
      <c r="I140" s="209" t="s">
        <v>182</v>
      </c>
      <c r="J140" s="209" t="s">
        <v>1924</v>
      </c>
      <c r="K140" s="212" t="s">
        <v>2798</v>
      </c>
      <c r="L140" s="209"/>
      <c r="M140" s="208">
        <v>0</v>
      </c>
      <c r="N140" s="208">
        <v>1.1339999999999999</v>
      </c>
      <c r="O140" s="208">
        <v>0</v>
      </c>
      <c r="P140" s="208">
        <v>1.2450000000000001</v>
      </c>
      <c r="Q140" s="208">
        <v>0</v>
      </c>
      <c r="R140" s="208">
        <v>0.80321285140562237</v>
      </c>
      <c r="S140" s="208">
        <v>0</v>
      </c>
      <c r="T140" s="208">
        <v>0.88183421516754856</v>
      </c>
      <c r="U140" s="280" t="s">
        <v>2423</v>
      </c>
    </row>
    <row r="141" spans="1:21" x14ac:dyDescent="0.25">
      <c r="A141" s="211" t="s">
        <v>1376</v>
      </c>
      <c r="B141" s="209" t="s">
        <v>2421</v>
      </c>
      <c r="C141" s="209" t="s">
        <v>2447</v>
      </c>
      <c r="D141" s="209" t="s">
        <v>456</v>
      </c>
      <c r="E141" s="209" t="s">
        <v>1919</v>
      </c>
      <c r="F141" s="208">
        <v>1.8204285714285704E-2</v>
      </c>
      <c r="G141" s="208">
        <v>2.9027654761904764</v>
      </c>
      <c r="H141" s="209" t="s">
        <v>1916</v>
      </c>
      <c r="I141" s="209" t="s">
        <v>182</v>
      </c>
      <c r="J141" s="209" t="s">
        <v>1924</v>
      </c>
      <c r="K141" s="212" t="s">
        <v>2798</v>
      </c>
      <c r="L141" s="209"/>
      <c r="M141" s="208">
        <v>0</v>
      </c>
      <c r="N141" s="208">
        <v>1.1339999999999999</v>
      </c>
      <c r="O141" s="208">
        <v>0</v>
      </c>
      <c r="P141" s="208">
        <v>1.2450000000000001</v>
      </c>
      <c r="Q141" s="208">
        <v>0</v>
      </c>
      <c r="R141" s="208">
        <v>0.80321285140562237</v>
      </c>
      <c r="S141" s="208">
        <v>0</v>
      </c>
      <c r="T141" s="208">
        <v>0.88183421516754856</v>
      </c>
      <c r="U141" s="280" t="s">
        <v>2423</v>
      </c>
    </row>
    <row r="142" spans="1:21" x14ac:dyDescent="0.25">
      <c r="A142" s="211" t="s">
        <v>1428</v>
      </c>
      <c r="B142" s="209" t="s">
        <v>2421</v>
      </c>
      <c r="C142" s="209" t="s">
        <v>2448</v>
      </c>
      <c r="D142" s="209" t="s">
        <v>459</v>
      </c>
      <c r="E142" s="209" t="s">
        <v>1919</v>
      </c>
      <c r="F142" s="208">
        <v>1.8204285714285704E-2</v>
      </c>
      <c r="G142" s="208">
        <v>2.9027654761904764</v>
      </c>
      <c r="H142" s="209" t="s">
        <v>1916</v>
      </c>
      <c r="I142" s="209" t="s">
        <v>182</v>
      </c>
      <c r="J142" s="209" t="s">
        <v>1924</v>
      </c>
      <c r="K142" s="212" t="s">
        <v>2798</v>
      </c>
      <c r="L142" s="209"/>
      <c r="M142" s="208">
        <v>0</v>
      </c>
      <c r="N142" s="208">
        <v>1.1339999999999999</v>
      </c>
      <c r="O142" s="208">
        <v>0</v>
      </c>
      <c r="P142" s="208">
        <v>1.2450000000000001</v>
      </c>
      <c r="Q142" s="208">
        <v>0</v>
      </c>
      <c r="R142" s="208">
        <v>0.80321285140562237</v>
      </c>
      <c r="S142" s="208">
        <v>0</v>
      </c>
      <c r="T142" s="208">
        <v>0.88183421516754856</v>
      </c>
      <c r="U142" s="280" t="s">
        <v>2423</v>
      </c>
    </row>
    <row r="143" spans="1:21" x14ac:dyDescent="0.25">
      <c r="A143" s="211" t="s">
        <v>1694</v>
      </c>
      <c r="B143" s="209" t="s">
        <v>2551</v>
      </c>
      <c r="C143" s="209" t="s">
        <v>2558</v>
      </c>
      <c r="D143" s="209" t="s">
        <v>459</v>
      </c>
      <c r="E143" s="209" t="s">
        <v>1919</v>
      </c>
      <c r="F143" s="208">
        <v>2.0722200000000003E-2</v>
      </c>
      <c r="G143" s="208">
        <v>3.0181483000000018</v>
      </c>
      <c r="H143" s="209" t="s">
        <v>1923</v>
      </c>
      <c r="I143" s="209" t="s">
        <v>182</v>
      </c>
      <c r="J143" s="209" t="s">
        <v>1924</v>
      </c>
      <c r="K143" s="212" t="s">
        <v>2798</v>
      </c>
      <c r="L143" s="209"/>
      <c r="M143" s="208">
        <v>2.4455445544554455</v>
      </c>
      <c r="N143" s="208">
        <v>0.99009900990099009</v>
      </c>
      <c r="O143" s="208">
        <v>8.7999999999999995E-2</v>
      </c>
      <c r="P143" s="208">
        <v>1.1930000000000001</v>
      </c>
      <c r="Q143" s="208">
        <v>-0.44</v>
      </c>
      <c r="R143" s="208">
        <v>0.89</v>
      </c>
      <c r="S143" s="208">
        <v>-2.4700000000000002</v>
      </c>
      <c r="T143" s="208">
        <v>1.01</v>
      </c>
      <c r="U143" s="280" t="s">
        <v>2553</v>
      </c>
    </row>
    <row r="144" spans="1:21" x14ac:dyDescent="0.25">
      <c r="A144" s="211" t="s">
        <v>1576</v>
      </c>
      <c r="B144" s="209" t="s">
        <v>2491</v>
      </c>
      <c r="C144" s="209" t="s">
        <v>2512</v>
      </c>
      <c r="D144" s="209" t="s">
        <v>461</v>
      </c>
      <c r="E144" s="209" t="s">
        <v>1914</v>
      </c>
      <c r="F144" s="208">
        <v>1.4421613E-2</v>
      </c>
      <c r="G144" s="208">
        <v>3.0684109679999998</v>
      </c>
      <c r="H144" s="209" t="s">
        <v>1916</v>
      </c>
      <c r="I144" s="209" t="s">
        <v>182</v>
      </c>
      <c r="J144" s="209" t="s">
        <v>1924</v>
      </c>
      <c r="K144" s="212" t="s">
        <v>2798</v>
      </c>
      <c r="L144" s="209"/>
      <c r="M144" s="208">
        <v>0</v>
      </c>
      <c r="N144" s="208">
        <v>1</v>
      </c>
      <c r="O144" s="208">
        <v>0</v>
      </c>
      <c r="P144" s="208">
        <v>1.2180267965895251</v>
      </c>
      <c r="Q144" s="208">
        <v>0</v>
      </c>
      <c r="R144" s="208">
        <v>0.82099999999999995</v>
      </c>
      <c r="S144" s="208">
        <v>0</v>
      </c>
      <c r="T144" s="208">
        <v>1</v>
      </c>
      <c r="U144" s="280" t="s">
        <v>2493</v>
      </c>
    </row>
    <row r="145" spans="1:21" x14ac:dyDescent="0.25">
      <c r="A145" s="211" t="s">
        <v>1578</v>
      </c>
      <c r="B145" s="209" t="s">
        <v>2491</v>
      </c>
      <c r="C145" s="209" t="s">
        <v>2513</v>
      </c>
      <c r="D145" s="209" t="s">
        <v>461</v>
      </c>
      <c r="E145" s="209" t="s">
        <v>1914</v>
      </c>
      <c r="F145" s="208">
        <v>1.4421613E-2</v>
      </c>
      <c r="G145" s="208">
        <v>3.0684109679999998</v>
      </c>
      <c r="H145" s="209" t="s">
        <v>1916</v>
      </c>
      <c r="I145" s="209" t="s">
        <v>182</v>
      </c>
      <c r="J145" s="209" t="s">
        <v>1924</v>
      </c>
      <c r="K145" s="212" t="s">
        <v>2798</v>
      </c>
      <c r="L145" s="209"/>
      <c r="M145" s="208">
        <v>0</v>
      </c>
      <c r="N145" s="208">
        <v>1</v>
      </c>
      <c r="O145" s="208">
        <v>0</v>
      </c>
      <c r="P145" s="208">
        <v>1.2180267965895251</v>
      </c>
      <c r="Q145" s="208">
        <v>0</v>
      </c>
      <c r="R145" s="208">
        <v>0.82099999999999995</v>
      </c>
      <c r="S145" s="208">
        <v>0</v>
      </c>
      <c r="T145" s="208">
        <v>1</v>
      </c>
      <c r="U145" s="280" t="s">
        <v>2493</v>
      </c>
    </row>
    <row r="146" spans="1:21" x14ac:dyDescent="0.25">
      <c r="A146" s="211" t="s">
        <v>1580</v>
      </c>
      <c r="B146" s="209" t="s">
        <v>2491</v>
      </c>
      <c r="C146" s="209" t="s">
        <v>2514</v>
      </c>
      <c r="D146" s="209" t="s">
        <v>461</v>
      </c>
      <c r="E146" s="209" t="s">
        <v>1914</v>
      </c>
      <c r="F146" s="208">
        <v>1.4421613E-2</v>
      </c>
      <c r="G146" s="208">
        <v>3.0684109679999998</v>
      </c>
      <c r="H146" s="209" t="s">
        <v>1916</v>
      </c>
      <c r="I146" s="209" t="s">
        <v>182</v>
      </c>
      <c r="J146" s="209" t="s">
        <v>1924</v>
      </c>
      <c r="K146" s="212" t="s">
        <v>2798</v>
      </c>
      <c r="L146" s="209"/>
      <c r="M146" s="208">
        <v>0</v>
      </c>
      <c r="N146" s="208">
        <v>1</v>
      </c>
      <c r="O146" s="208">
        <v>0</v>
      </c>
      <c r="P146" s="208">
        <v>1.2180267965895251</v>
      </c>
      <c r="Q146" s="208">
        <v>0</v>
      </c>
      <c r="R146" s="208">
        <v>0.82099999999999995</v>
      </c>
      <c r="S146" s="208">
        <v>0</v>
      </c>
      <c r="T146" s="208">
        <v>1</v>
      </c>
      <c r="U146" s="280" t="s">
        <v>2493</v>
      </c>
    </row>
    <row r="147" spans="1:21" x14ac:dyDescent="0.25">
      <c r="A147" s="211" t="s">
        <v>1920</v>
      </c>
      <c r="B147" s="209" t="s">
        <v>1921</v>
      </c>
      <c r="C147" s="209" t="s">
        <v>1922</v>
      </c>
      <c r="D147" s="209" t="s">
        <v>442</v>
      </c>
      <c r="E147" s="209" t="s">
        <v>1919</v>
      </c>
      <c r="F147" s="208">
        <v>1.1981666666666667E-2</v>
      </c>
      <c r="G147" s="208">
        <v>3.072954444444445</v>
      </c>
      <c r="H147" s="209" t="s">
        <v>1923</v>
      </c>
      <c r="I147" s="209" t="s">
        <v>182</v>
      </c>
      <c r="J147" s="209" t="s">
        <v>1924</v>
      </c>
      <c r="K147" s="212" t="s">
        <v>2798</v>
      </c>
      <c r="L147" s="209"/>
      <c r="M147" s="208">
        <v>0</v>
      </c>
      <c r="N147" s="208">
        <v>1.2285012285012287</v>
      </c>
      <c r="O147" s="208">
        <v>0</v>
      </c>
      <c r="P147" s="208">
        <v>1.2350000000000001</v>
      </c>
      <c r="Q147" s="208">
        <v>0</v>
      </c>
      <c r="R147" s="208">
        <v>0.80971659919028338</v>
      </c>
      <c r="S147" s="208">
        <v>0</v>
      </c>
      <c r="T147" s="208">
        <v>0.81399999999999995</v>
      </c>
      <c r="U147" s="280" t="s">
        <v>1925</v>
      </c>
    </row>
    <row r="148" spans="1:21" x14ac:dyDescent="0.25">
      <c r="A148" s="211" t="s">
        <v>803</v>
      </c>
      <c r="B148" s="209" t="s">
        <v>1921</v>
      </c>
      <c r="C148" s="209" t="s">
        <v>1930</v>
      </c>
      <c r="D148" s="209" t="s">
        <v>442</v>
      </c>
      <c r="E148" s="209" t="s">
        <v>1919</v>
      </c>
      <c r="F148" s="208">
        <v>1.1981666666666667E-2</v>
      </c>
      <c r="G148" s="208">
        <v>3.072954444444445</v>
      </c>
      <c r="H148" s="209" t="s">
        <v>1923</v>
      </c>
      <c r="I148" s="209" t="s">
        <v>182</v>
      </c>
      <c r="J148" s="209" t="s">
        <v>1924</v>
      </c>
      <c r="K148" s="212" t="s">
        <v>2798</v>
      </c>
      <c r="L148" s="209"/>
      <c r="M148" s="208">
        <v>0</v>
      </c>
      <c r="N148" s="208">
        <v>1.2285012285012287</v>
      </c>
      <c r="O148" s="208">
        <v>0</v>
      </c>
      <c r="P148" s="208">
        <v>1.2350000000000001</v>
      </c>
      <c r="Q148" s="208">
        <v>0</v>
      </c>
      <c r="R148" s="208">
        <v>0.80971659919028338</v>
      </c>
      <c r="S148" s="208">
        <v>0</v>
      </c>
      <c r="T148" s="208">
        <v>0.81399999999999995</v>
      </c>
      <c r="U148" s="280" t="s">
        <v>1925</v>
      </c>
    </row>
    <row r="149" spans="1:21" x14ac:dyDescent="0.25">
      <c r="A149" s="211" t="s">
        <v>797</v>
      </c>
      <c r="B149" s="209" t="s">
        <v>1921</v>
      </c>
      <c r="C149" s="209" t="s">
        <v>1927</v>
      </c>
      <c r="D149" s="209" t="s">
        <v>442</v>
      </c>
      <c r="E149" s="209" t="s">
        <v>1919</v>
      </c>
      <c r="F149" s="208">
        <v>1.1981666666666667E-2</v>
      </c>
      <c r="G149" s="208">
        <v>3.072954444444445</v>
      </c>
      <c r="H149" s="209" t="s">
        <v>1923</v>
      </c>
      <c r="I149" s="209" t="s">
        <v>182</v>
      </c>
      <c r="J149" s="209" t="s">
        <v>1924</v>
      </c>
      <c r="K149" s="212" t="s">
        <v>2798</v>
      </c>
      <c r="L149" s="209"/>
      <c r="M149" s="208">
        <v>0</v>
      </c>
      <c r="N149" s="208">
        <v>1.2285012285012287</v>
      </c>
      <c r="O149" s="208">
        <v>0</v>
      </c>
      <c r="P149" s="208">
        <v>1.2350000000000001</v>
      </c>
      <c r="Q149" s="208">
        <v>0</v>
      </c>
      <c r="R149" s="208">
        <v>0.80971659919028338</v>
      </c>
      <c r="S149" s="208">
        <v>0</v>
      </c>
      <c r="T149" s="208">
        <v>0.81399999999999995</v>
      </c>
      <c r="U149" s="280" t="s">
        <v>1925</v>
      </c>
    </row>
    <row r="150" spans="1:21" x14ac:dyDescent="0.25">
      <c r="A150" s="211" t="s">
        <v>787</v>
      </c>
      <c r="B150" s="209" t="s">
        <v>1921</v>
      </c>
      <c r="C150" s="209" t="s">
        <v>1932</v>
      </c>
      <c r="D150" s="209" t="s">
        <v>442</v>
      </c>
      <c r="E150" s="209" t="s">
        <v>1919</v>
      </c>
      <c r="F150" s="208">
        <v>1.1981666666666667E-2</v>
      </c>
      <c r="G150" s="208">
        <v>3.072954444444445</v>
      </c>
      <c r="H150" s="209" t="s">
        <v>1923</v>
      </c>
      <c r="I150" s="209" t="s">
        <v>182</v>
      </c>
      <c r="J150" s="209" t="s">
        <v>1924</v>
      </c>
      <c r="K150" s="212" t="s">
        <v>2798</v>
      </c>
      <c r="L150" s="209"/>
      <c r="M150" s="208">
        <v>0</v>
      </c>
      <c r="N150" s="208">
        <v>1.2285012285012287</v>
      </c>
      <c r="O150" s="208">
        <v>0</v>
      </c>
      <c r="P150" s="208">
        <v>1.2350000000000001</v>
      </c>
      <c r="Q150" s="208">
        <v>0</v>
      </c>
      <c r="R150" s="208">
        <v>0.80971659919028338</v>
      </c>
      <c r="S150" s="208">
        <v>0</v>
      </c>
      <c r="T150" s="208">
        <v>0.81399999999999995</v>
      </c>
      <c r="U150" s="280" t="s">
        <v>1925</v>
      </c>
    </row>
    <row r="151" spans="1:21" x14ac:dyDescent="0.25">
      <c r="A151" s="211" t="s">
        <v>791</v>
      </c>
      <c r="B151" s="209" t="s">
        <v>1921</v>
      </c>
      <c r="C151" s="209" t="s">
        <v>1931</v>
      </c>
      <c r="D151" s="209" t="s">
        <v>442</v>
      </c>
      <c r="E151" s="209" t="s">
        <v>1919</v>
      </c>
      <c r="F151" s="208">
        <v>1.1981666666666667E-2</v>
      </c>
      <c r="G151" s="208">
        <v>3.072954444444445</v>
      </c>
      <c r="H151" s="209" t="s">
        <v>1923</v>
      </c>
      <c r="I151" s="209" t="s">
        <v>182</v>
      </c>
      <c r="J151" s="209" t="s">
        <v>1924</v>
      </c>
      <c r="K151" s="212" t="s">
        <v>2798</v>
      </c>
      <c r="L151" s="209"/>
      <c r="M151" s="208">
        <v>0</v>
      </c>
      <c r="N151" s="208">
        <v>1.2285012285012287</v>
      </c>
      <c r="O151" s="208">
        <v>0</v>
      </c>
      <c r="P151" s="208">
        <v>1.2350000000000001</v>
      </c>
      <c r="Q151" s="208">
        <v>0</v>
      </c>
      <c r="R151" s="208">
        <v>0.80971659919028338</v>
      </c>
      <c r="S151" s="208">
        <v>0</v>
      </c>
      <c r="T151" s="208">
        <v>0.81399999999999995</v>
      </c>
      <c r="U151" s="280" t="s">
        <v>1925</v>
      </c>
    </row>
    <row r="152" spans="1:21" x14ac:dyDescent="0.25">
      <c r="A152" s="211" t="s">
        <v>811</v>
      </c>
      <c r="B152" s="209" t="s">
        <v>1921</v>
      </c>
      <c r="C152" s="209" t="s">
        <v>1933</v>
      </c>
      <c r="D152" s="209" t="s">
        <v>442</v>
      </c>
      <c r="E152" s="209" t="s">
        <v>1919</v>
      </c>
      <c r="F152" s="208">
        <v>1.1981666666666667E-2</v>
      </c>
      <c r="G152" s="208">
        <v>3.072954444444445</v>
      </c>
      <c r="H152" s="209" t="s">
        <v>1923</v>
      </c>
      <c r="I152" s="209" t="s">
        <v>182</v>
      </c>
      <c r="J152" s="209" t="s">
        <v>1924</v>
      </c>
      <c r="K152" s="212" t="s">
        <v>2798</v>
      </c>
      <c r="L152" s="209"/>
      <c r="M152" s="208">
        <v>0</v>
      </c>
      <c r="N152" s="208">
        <v>1.2285012285012287</v>
      </c>
      <c r="O152" s="208">
        <v>0</v>
      </c>
      <c r="P152" s="208">
        <v>1.2350000000000001</v>
      </c>
      <c r="Q152" s="208">
        <v>0</v>
      </c>
      <c r="R152" s="208">
        <v>0.80971659919028338</v>
      </c>
      <c r="S152" s="208">
        <v>0</v>
      </c>
      <c r="T152" s="208">
        <v>0.81399999999999995</v>
      </c>
      <c r="U152" s="280" t="s">
        <v>1925</v>
      </c>
    </row>
    <row r="153" spans="1:21" x14ac:dyDescent="0.25">
      <c r="A153" s="211" t="s">
        <v>753</v>
      </c>
      <c r="B153" s="209" t="s">
        <v>2009</v>
      </c>
      <c r="C153" s="209" t="s">
        <v>2010</v>
      </c>
      <c r="D153" s="209" t="s">
        <v>442</v>
      </c>
      <c r="E153" s="209" t="s">
        <v>1914</v>
      </c>
      <c r="F153" s="208">
        <v>1.06E-2</v>
      </c>
      <c r="G153" s="208">
        <v>2.8919999999999999</v>
      </c>
      <c r="H153" s="209" t="s">
        <v>1916</v>
      </c>
      <c r="I153" s="209" t="s">
        <v>182</v>
      </c>
      <c r="J153" s="209" t="s">
        <v>1917</v>
      </c>
      <c r="K153" s="212" t="s">
        <v>2798</v>
      </c>
      <c r="L153" s="209"/>
      <c r="M153" s="218" t="s">
        <v>147</v>
      </c>
      <c r="N153" s="218" t="s">
        <v>147</v>
      </c>
      <c r="O153" s="208">
        <v>0</v>
      </c>
      <c r="P153" s="208">
        <v>1.4184397163120568</v>
      </c>
      <c r="Q153" s="208">
        <v>0</v>
      </c>
      <c r="R153" s="208">
        <v>0.70499999999999996</v>
      </c>
      <c r="S153" s="218" t="s">
        <v>147</v>
      </c>
      <c r="T153" s="218" t="s">
        <v>147</v>
      </c>
      <c r="U153" s="280" t="s">
        <v>1917</v>
      </c>
    </row>
    <row r="154" spans="1:21" x14ac:dyDescent="0.25">
      <c r="A154" s="211" t="s">
        <v>822</v>
      </c>
      <c r="B154" s="209" t="s">
        <v>1944</v>
      </c>
      <c r="C154" s="209" t="s">
        <v>1945</v>
      </c>
      <c r="D154" s="209" t="s">
        <v>442</v>
      </c>
      <c r="E154" s="209" t="s">
        <v>1919</v>
      </c>
      <c r="F154" s="208">
        <v>4.0942857142857144E-3</v>
      </c>
      <c r="G154" s="208">
        <v>3.1261428571428569</v>
      </c>
      <c r="H154" s="209" t="s">
        <v>1916</v>
      </c>
      <c r="I154" s="209" t="s">
        <v>182</v>
      </c>
      <c r="J154" s="209" t="s">
        <v>1924</v>
      </c>
      <c r="K154" s="212" t="s">
        <v>2798</v>
      </c>
      <c r="L154" s="209"/>
      <c r="M154" s="208">
        <v>0</v>
      </c>
      <c r="N154" s="208">
        <v>1.2547051442910915</v>
      </c>
      <c r="O154" s="208">
        <v>0</v>
      </c>
      <c r="P154" s="208">
        <v>1.3793103448275863</v>
      </c>
      <c r="Q154" s="208">
        <v>0</v>
      </c>
      <c r="R154" s="208">
        <v>0.72499999999999998</v>
      </c>
      <c r="S154" s="208">
        <v>0</v>
      </c>
      <c r="T154" s="208">
        <v>0.79700000000000004</v>
      </c>
      <c r="U154" s="280" t="s">
        <v>1946</v>
      </c>
    </row>
    <row r="155" spans="1:21" x14ac:dyDescent="0.25">
      <c r="A155" s="211" t="s">
        <v>2644</v>
      </c>
      <c r="B155" s="209" t="s">
        <v>2607</v>
      </c>
      <c r="C155" s="209" t="s">
        <v>2645</v>
      </c>
      <c r="D155" s="209" t="s">
        <v>438</v>
      </c>
      <c r="E155" s="209" t="s">
        <v>1914</v>
      </c>
      <c r="F155" s="208">
        <v>6.9719444444444438E-3</v>
      </c>
      <c r="G155" s="208">
        <v>3.1445000000000003</v>
      </c>
      <c r="H155" s="209" t="s">
        <v>1916</v>
      </c>
      <c r="I155" s="209" t="s">
        <v>182</v>
      </c>
      <c r="J155" s="209" t="s">
        <v>1924</v>
      </c>
      <c r="K155" s="212" t="s">
        <v>2798</v>
      </c>
      <c r="L155" s="209"/>
      <c r="M155" s="208">
        <v>0</v>
      </c>
      <c r="N155" s="208">
        <v>1</v>
      </c>
      <c r="O155" s="208">
        <v>0</v>
      </c>
      <c r="P155" s="208">
        <v>1.1619999999999999</v>
      </c>
      <c r="Q155" s="208">
        <v>0</v>
      </c>
      <c r="R155" s="208">
        <v>0.86058519793459554</v>
      </c>
      <c r="S155" s="208">
        <v>0</v>
      </c>
      <c r="T155" s="208">
        <v>1</v>
      </c>
      <c r="U155" s="280" t="s">
        <v>2604</v>
      </c>
    </row>
    <row r="156" spans="1:21" x14ac:dyDescent="0.25">
      <c r="A156" s="211" t="s">
        <v>1740</v>
      </c>
      <c r="B156" s="209" t="s">
        <v>2607</v>
      </c>
      <c r="C156" s="209" t="s">
        <v>2646</v>
      </c>
      <c r="D156" s="209" t="s">
        <v>438</v>
      </c>
      <c r="E156" s="209" t="s">
        <v>1914</v>
      </c>
      <c r="F156" s="208">
        <v>6.9719444444444438E-3</v>
      </c>
      <c r="G156" s="208">
        <v>3.1445000000000003</v>
      </c>
      <c r="H156" s="209" t="s">
        <v>1916</v>
      </c>
      <c r="I156" s="209" t="s">
        <v>182</v>
      </c>
      <c r="J156" s="209" t="s">
        <v>1924</v>
      </c>
      <c r="K156" s="212" t="s">
        <v>2798</v>
      </c>
      <c r="L156" s="209"/>
      <c r="M156" s="208">
        <v>0</v>
      </c>
      <c r="N156" s="208">
        <v>1</v>
      </c>
      <c r="O156" s="208">
        <v>0</v>
      </c>
      <c r="P156" s="208">
        <v>1.1619999999999999</v>
      </c>
      <c r="Q156" s="208">
        <v>0</v>
      </c>
      <c r="R156" s="208">
        <v>0.86058519793459554</v>
      </c>
      <c r="S156" s="208">
        <v>0</v>
      </c>
      <c r="T156" s="208">
        <v>1</v>
      </c>
      <c r="U156" s="280" t="s">
        <v>2604</v>
      </c>
    </row>
    <row r="157" spans="1:21" x14ac:dyDescent="0.25">
      <c r="A157" s="211" t="s">
        <v>1738</v>
      </c>
      <c r="B157" s="209" t="s">
        <v>2607</v>
      </c>
      <c r="C157" s="209" t="s">
        <v>2647</v>
      </c>
      <c r="D157" s="209" t="s">
        <v>438</v>
      </c>
      <c r="E157" s="209" t="s">
        <v>1914</v>
      </c>
      <c r="F157" s="208">
        <v>6.9719444444444438E-3</v>
      </c>
      <c r="G157" s="208">
        <v>3.1445000000000003</v>
      </c>
      <c r="H157" s="209" t="s">
        <v>1916</v>
      </c>
      <c r="I157" s="209" t="s">
        <v>182</v>
      </c>
      <c r="J157" s="209" t="s">
        <v>1924</v>
      </c>
      <c r="K157" s="212" t="s">
        <v>2798</v>
      </c>
      <c r="L157" s="209"/>
      <c r="M157" s="208">
        <v>0</v>
      </c>
      <c r="N157" s="208">
        <v>1</v>
      </c>
      <c r="O157" s="208">
        <v>0</v>
      </c>
      <c r="P157" s="208">
        <v>1.1619999999999999</v>
      </c>
      <c r="Q157" s="208">
        <v>0</v>
      </c>
      <c r="R157" s="208">
        <v>0.86058519793459554</v>
      </c>
      <c r="S157" s="208">
        <v>0</v>
      </c>
      <c r="T157" s="208">
        <v>1</v>
      </c>
      <c r="U157" s="280" t="s">
        <v>2604</v>
      </c>
    </row>
    <row r="158" spans="1:21" x14ac:dyDescent="0.25">
      <c r="A158" s="211" t="s">
        <v>1742</v>
      </c>
      <c r="B158" s="209" t="s">
        <v>2607</v>
      </c>
      <c r="C158" s="209" t="s">
        <v>2648</v>
      </c>
      <c r="D158" s="209" t="s">
        <v>438</v>
      </c>
      <c r="E158" s="209" t="s">
        <v>1914</v>
      </c>
      <c r="F158" s="208">
        <v>6.9719444444444438E-3</v>
      </c>
      <c r="G158" s="208">
        <v>3.1445000000000003</v>
      </c>
      <c r="H158" s="209" t="s">
        <v>1916</v>
      </c>
      <c r="I158" s="209" t="s">
        <v>182</v>
      </c>
      <c r="J158" s="209" t="s">
        <v>1924</v>
      </c>
      <c r="K158" s="212" t="s">
        <v>2798</v>
      </c>
      <c r="L158" s="209"/>
      <c r="M158" s="208">
        <v>0</v>
      </c>
      <c r="N158" s="208">
        <v>1</v>
      </c>
      <c r="O158" s="208">
        <v>0</v>
      </c>
      <c r="P158" s="208">
        <v>1.1619999999999999</v>
      </c>
      <c r="Q158" s="208">
        <v>0</v>
      </c>
      <c r="R158" s="208">
        <v>0.86058519793459554</v>
      </c>
      <c r="S158" s="208">
        <v>0</v>
      </c>
      <c r="T158" s="208">
        <v>1</v>
      </c>
      <c r="U158" s="280" t="s">
        <v>2604</v>
      </c>
    </row>
    <row r="159" spans="1:21" x14ac:dyDescent="0.25">
      <c r="A159" s="211" t="s">
        <v>1746</v>
      </c>
      <c r="B159" s="209" t="s">
        <v>2607</v>
      </c>
      <c r="C159" s="209" t="s">
        <v>2649</v>
      </c>
      <c r="D159" s="209" t="s">
        <v>438</v>
      </c>
      <c r="E159" s="209" t="s">
        <v>1914</v>
      </c>
      <c r="F159" s="208">
        <v>6.9719444444444438E-3</v>
      </c>
      <c r="G159" s="208">
        <v>3.1445000000000003</v>
      </c>
      <c r="H159" s="209" t="s">
        <v>1916</v>
      </c>
      <c r="I159" s="209" t="s">
        <v>182</v>
      </c>
      <c r="J159" s="209" t="s">
        <v>1924</v>
      </c>
      <c r="K159" s="212" t="s">
        <v>2798</v>
      </c>
      <c r="L159" s="209"/>
      <c r="M159" s="208">
        <v>0</v>
      </c>
      <c r="N159" s="208">
        <v>1</v>
      </c>
      <c r="O159" s="208">
        <v>0</v>
      </c>
      <c r="P159" s="208">
        <v>1.1619999999999999</v>
      </c>
      <c r="Q159" s="208">
        <v>0</v>
      </c>
      <c r="R159" s="208">
        <v>0.86058519793459554</v>
      </c>
      <c r="S159" s="208">
        <v>0</v>
      </c>
      <c r="T159" s="208">
        <v>1</v>
      </c>
      <c r="U159" s="280" t="s">
        <v>2604</v>
      </c>
    </row>
    <row r="160" spans="1:21" x14ac:dyDescent="0.25">
      <c r="A160" s="211" t="s">
        <v>1526</v>
      </c>
      <c r="B160" s="209" t="s">
        <v>2522</v>
      </c>
      <c r="C160" s="209" t="s">
        <v>2534</v>
      </c>
      <c r="D160" s="209" t="s">
        <v>461</v>
      </c>
      <c r="E160" s="209" t="s">
        <v>1914</v>
      </c>
      <c r="F160" s="208">
        <v>7.3345000000000007E-2</v>
      </c>
      <c r="G160" s="208">
        <v>2.7689233333333334</v>
      </c>
      <c r="H160" s="209" t="s">
        <v>1916</v>
      </c>
      <c r="I160" s="209" t="s">
        <v>182</v>
      </c>
      <c r="J160" s="209" t="s">
        <v>1924</v>
      </c>
      <c r="K160" s="212" t="s">
        <v>2798</v>
      </c>
      <c r="L160" s="209"/>
      <c r="M160" s="208">
        <v>0</v>
      </c>
      <c r="N160" s="208">
        <v>1.137</v>
      </c>
      <c r="O160" s="208">
        <v>0</v>
      </c>
      <c r="P160" s="208">
        <v>1.2929999999999999</v>
      </c>
      <c r="Q160" s="208">
        <v>0</v>
      </c>
      <c r="R160" s="208">
        <v>0.77339520494972935</v>
      </c>
      <c r="S160" s="208">
        <v>0</v>
      </c>
      <c r="T160" s="208">
        <v>0.87950747581354438</v>
      </c>
      <c r="U160" s="280" t="s">
        <v>2523</v>
      </c>
    </row>
    <row r="161" spans="1:21" x14ac:dyDescent="0.25">
      <c r="A161" s="211" t="s">
        <v>1702</v>
      </c>
      <c r="B161" s="209" t="s">
        <v>2551</v>
      </c>
      <c r="C161" s="209" t="s">
        <v>2552</v>
      </c>
      <c r="D161" s="209" t="s">
        <v>459</v>
      </c>
      <c r="E161" s="209" t="s">
        <v>1919</v>
      </c>
      <c r="F161" s="208">
        <v>2.0722200000000003E-2</v>
      </c>
      <c r="G161" s="208">
        <v>3.0181483000000018</v>
      </c>
      <c r="H161" s="209" t="s">
        <v>1923</v>
      </c>
      <c r="I161" s="209" t="s">
        <v>182</v>
      </c>
      <c r="J161" s="209" t="s">
        <v>1924</v>
      </c>
      <c r="K161" s="212" t="s">
        <v>2798</v>
      </c>
      <c r="L161" s="209"/>
      <c r="M161" s="208">
        <v>2.4455445544554455</v>
      </c>
      <c r="N161" s="208">
        <v>0.99009900990099009</v>
      </c>
      <c r="O161" s="208">
        <v>8.7999999999999995E-2</v>
      </c>
      <c r="P161" s="208">
        <v>1.1930000000000001</v>
      </c>
      <c r="Q161" s="208">
        <v>-0.44</v>
      </c>
      <c r="R161" s="208">
        <v>0.89</v>
      </c>
      <c r="S161" s="208">
        <v>-2.4700000000000002</v>
      </c>
      <c r="T161" s="208">
        <v>1.01</v>
      </c>
      <c r="U161" s="280" t="s">
        <v>2553</v>
      </c>
    </row>
    <row r="162" spans="1:21" x14ac:dyDescent="0.25">
      <c r="A162" s="211" t="s">
        <v>1674</v>
      </c>
      <c r="B162" s="209" t="s">
        <v>2551</v>
      </c>
      <c r="C162" s="209" t="s">
        <v>2554</v>
      </c>
      <c r="D162" s="209" t="s">
        <v>459</v>
      </c>
      <c r="E162" s="209" t="s">
        <v>1919</v>
      </c>
      <c r="F162" s="208">
        <v>2.0722200000000003E-2</v>
      </c>
      <c r="G162" s="208">
        <v>3.0181483000000018</v>
      </c>
      <c r="H162" s="209" t="s">
        <v>1923</v>
      </c>
      <c r="I162" s="209" t="s">
        <v>182</v>
      </c>
      <c r="J162" s="209" t="s">
        <v>1924</v>
      </c>
      <c r="K162" s="212" t="s">
        <v>2798</v>
      </c>
      <c r="L162" s="209"/>
      <c r="M162" s="208">
        <v>2.4455445544554455</v>
      </c>
      <c r="N162" s="208">
        <v>0.99009900990099009</v>
      </c>
      <c r="O162" s="208">
        <v>8.7999999999999995E-2</v>
      </c>
      <c r="P162" s="208">
        <v>1.1930000000000001</v>
      </c>
      <c r="Q162" s="208">
        <v>-0.44</v>
      </c>
      <c r="R162" s="208">
        <v>0.89</v>
      </c>
      <c r="S162" s="208">
        <v>-2.4700000000000002</v>
      </c>
      <c r="T162" s="208">
        <v>1.01</v>
      </c>
      <c r="U162" s="280" t="s">
        <v>2553</v>
      </c>
    </row>
    <row r="163" spans="1:21" x14ac:dyDescent="0.25">
      <c r="A163" s="211" t="s">
        <v>1676</v>
      </c>
      <c r="B163" s="209" t="s">
        <v>2551</v>
      </c>
      <c r="C163" s="209" t="s">
        <v>2557</v>
      </c>
      <c r="D163" s="209" t="s">
        <v>459</v>
      </c>
      <c r="E163" s="209" t="s">
        <v>1919</v>
      </c>
      <c r="F163" s="208">
        <v>2.0722200000000003E-2</v>
      </c>
      <c r="G163" s="208">
        <v>3.0181483000000018</v>
      </c>
      <c r="H163" s="209" t="s">
        <v>1923</v>
      </c>
      <c r="I163" s="209" t="s">
        <v>182</v>
      </c>
      <c r="J163" s="209" t="s">
        <v>1924</v>
      </c>
      <c r="K163" s="212" t="s">
        <v>2798</v>
      </c>
      <c r="L163" s="209"/>
      <c r="M163" s="208">
        <v>2.4455445544554455</v>
      </c>
      <c r="N163" s="208">
        <v>0.99009900990099009</v>
      </c>
      <c r="O163" s="208">
        <v>8.7999999999999995E-2</v>
      </c>
      <c r="P163" s="208">
        <v>1.1930000000000001</v>
      </c>
      <c r="Q163" s="208">
        <v>-0.44</v>
      </c>
      <c r="R163" s="208">
        <v>0.89</v>
      </c>
      <c r="S163" s="208">
        <v>-2.4700000000000002</v>
      </c>
      <c r="T163" s="208">
        <v>1.01</v>
      </c>
      <c r="U163" s="280" t="s">
        <v>2553</v>
      </c>
    </row>
    <row r="164" spans="1:21" x14ac:dyDescent="0.25">
      <c r="A164" s="211" t="s">
        <v>1678</v>
      </c>
      <c r="B164" s="209" t="s">
        <v>2551</v>
      </c>
      <c r="C164" s="209" t="s">
        <v>2555</v>
      </c>
      <c r="D164" s="209" t="s">
        <v>459</v>
      </c>
      <c r="E164" s="209" t="s">
        <v>1919</v>
      </c>
      <c r="F164" s="208">
        <v>2.0722200000000003E-2</v>
      </c>
      <c r="G164" s="208">
        <v>3.0181483000000018</v>
      </c>
      <c r="H164" s="209" t="s">
        <v>1923</v>
      </c>
      <c r="I164" s="209" t="s">
        <v>182</v>
      </c>
      <c r="J164" s="209" t="s">
        <v>1924</v>
      </c>
      <c r="K164" s="212" t="s">
        <v>2798</v>
      </c>
      <c r="L164" s="209"/>
      <c r="M164" s="208">
        <v>2.4455445544554455</v>
      </c>
      <c r="N164" s="208">
        <v>0.99009900990099009</v>
      </c>
      <c r="O164" s="208">
        <v>8.7999999999999995E-2</v>
      </c>
      <c r="P164" s="208">
        <v>1.1930000000000001</v>
      </c>
      <c r="Q164" s="208">
        <v>-0.44</v>
      </c>
      <c r="R164" s="208">
        <v>0.89</v>
      </c>
      <c r="S164" s="208">
        <v>-2.4700000000000002</v>
      </c>
      <c r="T164" s="208">
        <v>1.01</v>
      </c>
      <c r="U164" s="280" t="s">
        <v>2553</v>
      </c>
    </row>
    <row r="165" spans="1:21" x14ac:dyDescent="0.25">
      <c r="A165" s="211" t="s">
        <v>1680</v>
      </c>
      <c r="B165" s="209" t="s">
        <v>2551</v>
      </c>
      <c r="C165" s="209" t="s">
        <v>2556</v>
      </c>
      <c r="D165" s="209" t="s">
        <v>459</v>
      </c>
      <c r="E165" s="209" t="s">
        <v>1919</v>
      </c>
      <c r="F165" s="208">
        <v>2.0722200000000003E-2</v>
      </c>
      <c r="G165" s="208">
        <v>3.0181483000000018</v>
      </c>
      <c r="H165" s="209" t="s">
        <v>1923</v>
      </c>
      <c r="I165" s="209" t="s">
        <v>182</v>
      </c>
      <c r="J165" s="209" t="s">
        <v>1924</v>
      </c>
      <c r="K165" s="212" t="s">
        <v>2798</v>
      </c>
      <c r="L165" s="209"/>
      <c r="M165" s="208">
        <v>2.4455445544554455</v>
      </c>
      <c r="N165" s="208">
        <v>0.99009900990099009</v>
      </c>
      <c r="O165" s="208">
        <v>8.7999999999999995E-2</v>
      </c>
      <c r="P165" s="208">
        <v>1.1930000000000001</v>
      </c>
      <c r="Q165" s="208">
        <v>-0.44</v>
      </c>
      <c r="R165" s="208">
        <v>0.89</v>
      </c>
      <c r="S165" s="208">
        <v>-2.4700000000000002</v>
      </c>
      <c r="T165" s="208">
        <v>1.01</v>
      </c>
      <c r="U165" s="280" t="s">
        <v>2553</v>
      </c>
    </row>
    <row r="166" spans="1:21" x14ac:dyDescent="0.25">
      <c r="A166" s="211" t="s">
        <v>1698</v>
      </c>
      <c r="B166" s="209" t="s">
        <v>2551</v>
      </c>
      <c r="C166" s="209" t="s">
        <v>2560</v>
      </c>
      <c r="D166" s="209" t="s">
        <v>459</v>
      </c>
      <c r="E166" s="209" t="s">
        <v>1919</v>
      </c>
      <c r="F166" s="208">
        <v>2.0722200000000003E-2</v>
      </c>
      <c r="G166" s="208">
        <v>3.0181483000000018</v>
      </c>
      <c r="H166" s="209" t="s">
        <v>1923</v>
      </c>
      <c r="I166" s="209" t="s">
        <v>182</v>
      </c>
      <c r="J166" s="209" t="s">
        <v>1924</v>
      </c>
      <c r="K166" s="212" t="s">
        <v>2798</v>
      </c>
      <c r="L166" s="209"/>
      <c r="M166" s="208">
        <v>2.4455445544554455</v>
      </c>
      <c r="N166" s="208">
        <v>0.99009900990099009</v>
      </c>
      <c r="O166" s="208">
        <v>8.7999999999999995E-2</v>
      </c>
      <c r="P166" s="208">
        <v>1.1930000000000001</v>
      </c>
      <c r="Q166" s="208">
        <v>-0.44</v>
      </c>
      <c r="R166" s="208">
        <v>0.89</v>
      </c>
      <c r="S166" s="208">
        <v>-2.4700000000000002</v>
      </c>
      <c r="T166" s="208">
        <v>1.01</v>
      </c>
      <c r="U166" s="280" t="s">
        <v>2553</v>
      </c>
    </row>
    <row r="167" spans="1:21" x14ac:dyDescent="0.25">
      <c r="A167" s="211" t="s">
        <v>2015</v>
      </c>
      <c r="B167" s="209" t="s">
        <v>2011</v>
      </c>
      <c r="C167" s="209" t="s">
        <v>2016</v>
      </c>
      <c r="D167" s="209" t="s">
        <v>544</v>
      </c>
      <c r="E167" s="209" t="s">
        <v>1919</v>
      </c>
      <c r="F167" s="208">
        <v>1.3078888888888886E-2</v>
      </c>
      <c r="G167" s="208">
        <v>3.1110275555555558</v>
      </c>
      <c r="H167" s="209" t="s">
        <v>1923</v>
      </c>
      <c r="I167" s="209" t="s">
        <v>182</v>
      </c>
      <c r="J167" s="209" t="s">
        <v>1924</v>
      </c>
      <c r="K167" s="212" t="s">
        <v>2798</v>
      </c>
      <c r="L167" s="209"/>
      <c r="M167" s="208">
        <v>0</v>
      </c>
      <c r="N167" s="208">
        <v>1.1100000000000001</v>
      </c>
      <c r="O167" s="208">
        <v>0</v>
      </c>
      <c r="P167" s="208">
        <v>1.1970000000000001</v>
      </c>
      <c r="Q167" s="208">
        <v>0</v>
      </c>
      <c r="R167" s="208">
        <v>0.83542188805346695</v>
      </c>
      <c r="S167" s="208">
        <v>0</v>
      </c>
      <c r="T167" s="208">
        <v>0.9009009009009008</v>
      </c>
      <c r="U167" s="280" t="s">
        <v>2012</v>
      </c>
    </row>
    <row r="168" spans="1:21" x14ac:dyDescent="0.25">
      <c r="A168" s="211" t="s">
        <v>996</v>
      </c>
      <c r="B168" s="209" t="s">
        <v>2011</v>
      </c>
      <c r="C168" s="209" t="s">
        <v>2017</v>
      </c>
      <c r="D168" s="209" t="s">
        <v>544</v>
      </c>
      <c r="E168" s="209" t="s">
        <v>1919</v>
      </c>
      <c r="F168" s="208">
        <v>1.3078888888888886E-2</v>
      </c>
      <c r="G168" s="208">
        <v>3.1110275555555558</v>
      </c>
      <c r="H168" s="209" t="s">
        <v>1923</v>
      </c>
      <c r="I168" s="209" t="s">
        <v>182</v>
      </c>
      <c r="J168" s="209" t="s">
        <v>1924</v>
      </c>
      <c r="K168" s="212" t="s">
        <v>2798</v>
      </c>
      <c r="L168" s="209"/>
      <c r="M168" s="208">
        <v>0</v>
      </c>
      <c r="N168" s="208">
        <v>1.1100000000000001</v>
      </c>
      <c r="O168" s="208">
        <v>0</v>
      </c>
      <c r="P168" s="208">
        <v>1.1970000000000001</v>
      </c>
      <c r="Q168" s="208">
        <v>0</v>
      </c>
      <c r="R168" s="208">
        <v>0.83542188805346695</v>
      </c>
      <c r="S168" s="208">
        <v>0</v>
      </c>
      <c r="T168" s="208">
        <v>0.9009009009009008</v>
      </c>
      <c r="U168" s="280" t="s">
        <v>2012</v>
      </c>
    </row>
    <row r="169" spans="1:21" x14ac:dyDescent="0.25">
      <c r="A169" s="211" t="s">
        <v>998</v>
      </c>
      <c r="B169" s="209" t="s">
        <v>2011</v>
      </c>
      <c r="C169" s="209" t="s">
        <v>358</v>
      </c>
      <c r="D169" s="209" t="s">
        <v>544</v>
      </c>
      <c r="E169" s="209" t="s">
        <v>1919</v>
      </c>
      <c r="F169" s="208">
        <v>1.3078888888888886E-2</v>
      </c>
      <c r="G169" s="208">
        <v>3.1110275555555558</v>
      </c>
      <c r="H169" s="209" t="s">
        <v>1923</v>
      </c>
      <c r="I169" s="209" t="s">
        <v>182</v>
      </c>
      <c r="J169" s="209" t="s">
        <v>1924</v>
      </c>
      <c r="K169" s="212" t="s">
        <v>2798</v>
      </c>
      <c r="L169" s="209"/>
      <c r="M169" s="208">
        <v>0</v>
      </c>
      <c r="N169" s="208">
        <v>1.1100000000000001</v>
      </c>
      <c r="O169" s="208">
        <v>0</v>
      </c>
      <c r="P169" s="208">
        <v>1.1970000000000001</v>
      </c>
      <c r="Q169" s="208">
        <v>0</v>
      </c>
      <c r="R169" s="208">
        <v>0.83542188805346695</v>
      </c>
      <c r="S169" s="208">
        <v>0</v>
      </c>
      <c r="T169" s="208">
        <v>0.9009009009009008</v>
      </c>
      <c r="U169" s="280" t="s">
        <v>2012</v>
      </c>
    </row>
    <row r="170" spans="1:21" x14ac:dyDescent="0.25">
      <c r="A170" s="211" t="s">
        <v>2045</v>
      </c>
      <c r="B170" s="209" t="s">
        <v>2046</v>
      </c>
      <c r="C170" s="209" t="s">
        <v>1911</v>
      </c>
      <c r="D170" s="209" t="s">
        <v>456</v>
      </c>
      <c r="E170" s="209" t="s">
        <v>1919</v>
      </c>
      <c r="F170" s="208">
        <v>4.5171428571428567E-3</v>
      </c>
      <c r="G170" s="208">
        <v>3.1281428571428576</v>
      </c>
      <c r="H170" s="209" t="s">
        <v>1916</v>
      </c>
      <c r="I170" s="209" t="s">
        <v>182</v>
      </c>
      <c r="J170" s="209" t="s">
        <v>1924</v>
      </c>
      <c r="K170" s="212" t="s">
        <v>2798</v>
      </c>
      <c r="L170" s="209" t="s">
        <v>2047</v>
      </c>
      <c r="M170" s="208">
        <v>0</v>
      </c>
      <c r="N170" s="208">
        <v>1.08</v>
      </c>
      <c r="O170" s="208">
        <v>0</v>
      </c>
      <c r="P170" s="208">
        <v>1.173</v>
      </c>
      <c r="Q170" s="208">
        <v>0</v>
      </c>
      <c r="R170" s="208">
        <v>0.85251491901108267</v>
      </c>
      <c r="S170" s="208">
        <v>0</v>
      </c>
      <c r="T170" s="208">
        <v>0.92592592592592582</v>
      </c>
      <c r="U170" s="280" t="s">
        <v>2048</v>
      </c>
    </row>
    <row r="171" spans="1:21" x14ac:dyDescent="0.25">
      <c r="A171" s="211" t="s">
        <v>2051</v>
      </c>
      <c r="B171" s="209" t="s">
        <v>2046</v>
      </c>
      <c r="C171" s="209" t="s">
        <v>1911</v>
      </c>
      <c r="D171" s="209" t="s">
        <v>456</v>
      </c>
      <c r="E171" s="209" t="s">
        <v>1919</v>
      </c>
      <c r="F171" s="208">
        <v>4.5171428571428567E-3</v>
      </c>
      <c r="G171" s="208">
        <v>3.1281428571428576</v>
      </c>
      <c r="H171" s="209" t="s">
        <v>1916</v>
      </c>
      <c r="I171" s="209" t="s">
        <v>182</v>
      </c>
      <c r="J171" s="209" t="s">
        <v>1924</v>
      </c>
      <c r="K171" s="212" t="s">
        <v>2798</v>
      </c>
      <c r="L171" s="209"/>
      <c r="M171" s="208">
        <v>0</v>
      </c>
      <c r="N171" s="208">
        <v>1.08</v>
      </c>
      <c r="O171" s="208">
        <v>0</v>
      </c>
      <c r="P171" s="208">
        <v>1.173</v>
      </c>
      <c r="Q171" s="208">
        <v>0</v>
      </c>
      <c r="R171" s="208">
        <v>0.85251491901108267</v>
      </c>
      <c r="S171" s="208">
        <v>0</v>
      </c>
      <c r="T171" s="208">
        <v>0.92592592592592582</v>
      </c>
      <c r="U171" s="280" t="s">
        <v>2048</v>
      </c>
    </row>
    <row r="172" spans="1:21" x14ac:dyDescent="0.25">
      <c r="A172" s="211" t="s">
        <v>2049</v>
      </c>
      <c r="B172" s="209" t="s">
        <v>2046</v>
      </c>
      <c r="C172" s="209" t="s">
        <v>2050</v>
      </c>
      <c r="D172" s="209" t="s">
        <v>456</v>
      </c>
      <c r="E172" s="209" t="s">
        <v>1919</v>
      </c>
      <c r="F172" s="208">
        <v>4.5171428571428567E-3</v>
      </c>
      <c r="G172" s="208">
        <v>3.1281428571428576</v>
      </c>
      <c r="H172" s="209" t="s">
        <v>1916</v>
      </c>
      <c r="I172" s="209" t="s">
        <v>182</v>
      </c>
      <c r="J172" s="209" t="s">
        <v>1924</v>
      </c>
      <c r="K172" s="212" t="s">
        <v>2798</v>
      </c>
      <c r="L172" s="209"/>
      <c r="M172" s="208">
        <v>0</v>
      </c>
      <c r="N172" s="208">
        <v>1.08</v>
      </c>
      <c r="O172" s="208">
        <v>0</v>
      </c>
      <c r="P172" s="208">
        <v>1.173</v>
      </c>
      <c r="Q172" s="208">
        <v>0</v>
      </c>
      <c r="R172" s="208">
        <v>0.85251491901108267</v>
      </c>
      <c r="S172" s="208">
        <v>0</v>
      </c>
      <c r="T172" s="208">
        <v>0.92592592592592582</v>
      </c>
      <c r="U172" s="280" t="s">
        <v>2048</v>
      </c>
    </row>
    <row r="173" spans="1:21" x14ac:dyDescent="0.25">
      <c r="A173" s="211" t="s">
        <v>2060</v>
      </c>
      <c r="B173" s="209" t="s">
        <v>2059</v>
      </c>
      <c r="C173" s="209" t="s">
        <v>2069</v>
      </c>
      <c r="D173" s="209" t="s">
        <v>433</v>
      </c>
      <c r="E173" s="209" t="s">
        <v>1919</v>
      </c>
      <c r="F173" s="208">
        <v>1.6E-2</v>
      </c>
      <c r="G173" s="208">
        <v>3</v>
      </c>
      <c r="H173" s="209" t="s">
        <v>1916</v>
      </c>
      <c r="I173" s="209" t="s">
        <v>182</v>
      </c>
      <c r="J173" s="209" t="s">
        <v>1917</v>
      </c>
      <c r="K173" s="212" t="s">
        <v>2798</v>
      </c>
      <c r="L173" s="209"/>
      <c r="M173" s="208">
        <v>0</v>
      </c>
      <c r="N173" s="208">
        <v>1.1210762331838564</v>
      </c>
      <c r="O173" s="208">
        <v>0</v>
      </c>
      <c r="P173" s="208">
        <v>1.1723329425556859</v>
      </c>
      <c r="Q173" s="208">
        <v>0</v>
      </c>
      <c r="R173" s="208">
        <v>0.85299999999999998</v>
      </c>
      <c r="S173" s="208">
        <v>0</v>
      </c>
      <c r="T173" s="208">
        <v>0.89200000000000002</v>
      </c>
      <c r="U173" s="280" t="s">
        <v>2061</v>
      </c>
    </row>
    <row r="174" spans="1:21" x14ac:dyDescent="0.25">
      <c r="A174" s="211" t="s">
        <v>2095</v>
      </c>
      <c r="B174" s="209" t="s">
        <v>2091</v>
      </c>
      <c r="C174" s="209" t="s">
        <v>1911</v>
      </c>
      <c r="D174" s="209" t="s">
        <v>433</v>
      </c>
      <c r="E174" s="209" t="s">
        <v>1919</v>
      </c>
      <c r="F174" s="208">
        <v>6.3899999999999998E-3</v>
      </c>
      <c r="G174" s="208">
        <v>3.036</v>
      </c>
      <c r="H174" s="209" t="s">
        <v>1916</v>
      </c>
      <c r="I174" s="209" t="s">
        <v>182</v>
      </c>
      <c r="J174" s="209" t="s">
        <v>2093</v>
      </c>
      <c r="K174" s="212" t="s">
        <v>2798</v>
      </c>
      <c r="L174" s="209"/>
      <c r="M174" s="208">
        <v>0</v>
      </c>
      <c r="N174" s="208">
        <v>1.1299435028248588</v>
      </c>
      <c r="O174" s="208">
        <v>0</v>
      </c>
      <c r="P174" s="208">
        <v>1.2330456226880393</v>
      </c>
      <c r="Q174" s="208">
        <v>0</v>
      </c>
      <c r="R174" s="208">
        <v>0.81100000000000005</v>
      </c>
      <c r="S174" s="208">
        <v>0</v>
      </c>
      <c r="T174" s="208">
        <v>0.88500000000000001</v>
      </c>
      <c r="U174" s="280" t="s">
        <v>2094</v>
      </c>
    </row>
    <row r="175" spans="1:21" x14ac:dyDescent="0.25">
      <c r="A175" s="211" t="s">
        <v>2096</v>
      </c>
      <c r="B175" s="209" t="s">
        <v>2091</v>
      </c>
      <c r="C175" s="209" t="s">
        <v>2097</v>
      </c>
      <c r="D175" s="209" t="s">
        <v>433</v>
      </c>
      <c r="E175" s="209" t="s">
        <v>1919</v>
      </c>
      <c r="F175" s="208">
        <v>6.3899999999999998E-3</v>
      </c>
      <c r="G175" s="208">
        <v>3.036</v>
      </c>
      <c r="H175" s="209" t="s">
        <v>1916</v>
      </c>
      <c r="I175" s="209" t="s">
        <v>182</v>
      </c>
      <c r="J175" s="209" t="s">
        <v>2093</v>
      </c>
      <c r="K175" s="212" t="s">
        <v>2798</v>
      </c>
      <c r="L175" s="209"/>
      <c r="M175" s="208">
        <v>0</v>
      </c>
      <c r="N175" s="208">
        <v>1.1299435028248588</v>
      </c>
      <c r="O175" s="208">
        <v>0</v>
      </c>
      <c r="P175" s="208">
        <v>1.2330456226880393</v>
      </c>
      <c r="Q175" s="208">
        <v>0</v>
      </c>
      <c r="R175" s="208">
        <v>0.81100000000000005</v>
      </c>
      <c r="S175" s="208">
        <v>0</v>
      </c>
      <c r="T175" s="208">
        <v>0.88500000000000001</v>
      </c>
      <c r="U175" s="280" t="s">
        <v>2094</v>
      </c>
    </row>
    <row r="176" spans="1:21" x14ac:dyDescent="0.25">
      <c r="A176" s="211" t="s">
        <v>2056</v>
      </c>
      <c r="B176" s="209" t="s">
        <v>2053</v>
      </c>
      <c r="C176" s="209" t="s">
        <v>2057</v>
      </c>
      <c r="D176" s="209" t="s">
        <v>433</v>
      </c>
      <c r="E176" s="209" t="s">
        <v>1919</v>
      </c>
      <c r="F176" s="218" t="s">
        <v>147</v>
      </c>
      <c r="G176" s="218" t="s">
        <v>147</v>
      </c>
      <c r="H176" s="218" t="s">
        <v>147</v>
      </c>
      <c r="I176" s="209" t="s">
        <v>182</v>
      </c>
      <c r="J176" s="209" t="s">
        <v>1911</v>
      </c>
      <c r="K176" s="212" t="s">
        <v>2798</v>
      </c>
      <c r="L176" s="209"/>
      <c r="M176" s="208">
        <v>0</v>
      </c>
      <c r="N176" s="208">
        <v>1.0869565217391304</v>
      </c>
      <c r="O176" s="208">
        <v>0</v>
      </c>
      <c r="P176" s="208">
        <v>1.0570824524312896</v>
      </c>
      <c r="Q176" s="208">
        <v>0</v>
      </c>
      <c r="R176" s="208">
        <v>0.94599999999999995</v>
      </c>
      <c r="S176" s="208">
        <v>0</v>
      </c>
      <c r="T176" s="208">
        <v>0.92</v>
      </c>
      <c r="U176" s="280" t="s">
        <v>2055</v>
      </c>
    </row>
    <row r="177" spans="1:21" x14ac:dyDescent="0.25">
      <c r="A177" s="209" t="s">
        <v>2052</v>
      </c>
      <c r="B177" s="209" t="s">
        <v>2053</v>
      </c>
      <c r="C177" s="209" t="s">
        <v>2054</v>
      </c>
      <c r="D177" s="209" t="s">
        <v>433</v>
      </c>
      <c r="E177" s="209" t="s">
        <v>1919</v>
      </c>
      <c r="F177" s="218" t="s">
        <v>147</v>
      </c>
      <c r="G177" s="218" t="s">
        <v>147</v>
      </c>
      <c r="H177" s="218" t="s">
        <v>147</v>
      </c>
      <c r="I177" s="209" t="s">
        <v>182</v>
      </c>
      <c r="J177" s="209" t="s">
        <v>1911</v>
      </c>
      <c r="K177" s="212" t="s">
        <v>2798</v>
      </c>
      <c r="L177" s="209"/>
      <c r="M177" s="208">
        <v>0</v>
      </c>
      <c r="N177" s="208">
        <v>1.0869565217391304</v>
      </c>
      <c r="O177" s="208">
        <v>0</v>
      </c>
      <c r="P177" s="208">
        <v>1.0570824524312896</v>
      </c>
      <c r="Q177" s="208">
        <v>0</v>
      </c>
      <c r="R177" s="208">
        <v>0.94599999999999995</v>
      </c>
      <c r="S177" s="208">
        <v>0</v>
      </c>
      <c r="T177" s="208">
        <v>0.92</v>
      </c>
      <c r="U177" s="280" t="s">
        <v>2055</v>
      </c>
    </row>
    <row r="178" spans="1:21" x14ac:dyDescent="0.25">
      <c r="A178" s="211" t="s">
        <v>2098</v>
      </c>
      <c r="B178" s="209" t="s">
        <v>2091</v>
      </c>
      <c r="C178" s="209" t="s">
        <v>1911</v>
      </c>
      <c r="D178" s="209" t="s">
        <v>433</v>
      </c>
      <c r="E178" s="209" t="s">
        <v>1919</v>
      </c>
      <c r="F178" s="208">
        <v>6.3899999999999998E-3</v>
      </c>
      <c r="G178" s="208">
        <v>3.036</v>
      </c>
      <c r="H178" s="209" t="s">
        <v>1916</v>
      </c>
      <c r="I178" s="209" t="s">
        <v>182</v>
      </c>
      <c r="J178" s="209" t="s">
        <v>2093</v>
      </c>
      <c r="K178" s="212" t="s">
        <v>2798</v>
      </c>
      <c r="L178" s="209"/>
      <c r="M178" s="208">
        <v>0</v>
      </c>
      <c r="N178" s="208">
        <v>1.1299435028248588</v>
      </c>
      <c r="O178" s="208">
        <v>0</v>
      </c>
      <c r="P178" s="208">
        <v>1.2330456226880393</v>
      </c>
      <c r="Q178" s="208">
        <v>0</v>
      </c>
      <c r="R178" s="208">
        <v>0.81100000000000005</v>
      </c>
      <c r="S178" s="208">
        <v>0</v>
      </c>
      <c r="T178" s="208">
        <v>0.88500000000000001</v>
      </c>
      <c r="U178" s="280" t="s">
        <v>2094</v>
      </c>
    </row>
    <row r="179" spans="1:21" x14ac:dyDescent="0.25">
      <c r="A179" s="211" t="s">
        <v>2058</v>
      </c>
      <c r="B179" s="209" t="s">
        <v>2059</v>
      </c>
      <c r="C179" s="209" t="s">
        <v>1911</v>
      </c>
      <c r="D179" s="209" t="s">
        <v>433</v>
      </c>
      <c r="E179" s="209" t="s">
        <v>1919</v>
      </c>
      <c r="F179" s="208">
        <v>1.6E-2</v>
      </c>
      <c r="G179" s="208">
        <v>3</v>
      </c>
      <c r="H179" s="209" t="s">
        <v>1916</v>
      </c>
      <c r="I179" s="209" t="s">
        <v>182</v>
      </c>
      <c r="J179" s="209" t="s">
        <v>2060</v>
      </c>
      <c r="K179" s="212" t="s">
        <v>2798</v>
      </c>
      <c r="L179" s="209"/>
      <c r="M179" s="208">
        <v>0</v>
      </c>
      <c r="N179" s="208">
        <v>1.1210762331838564</v>
      </c>
      <c r="O179" s="208">
        <v>0</v>
      </c>
      <c r="P179" s="208">
        <v>1.1723329425556859</v>
      </c>
      <c r="Q179" s="208">
        <v>0</v>
      </c>
      <c r="R179" s="208">
        <v>0.85299999999999998</v>
      </c>
      <c r="S179" s="208">
        <v>0</v>
      </c>
      <c r="T179" s="208">
        <v>0.89200000000000002</v>
      </c>
      <c r="U179" s="280" t="s">
        <v>2061</v>
      </c>
    </row>
    <row r="180" spans="1:21" x14ac:dyDescent="0.25">
      <c r="A180" s="211" t="s">
        <v>2062</v>
      </c>
      <c r="B180" s="209" t="s">
        <v>2059</v>
      </c>
      <c r="C180" s="209" t="s">
        <v>2063</v>
      </c>
      <c r="D180" s="209" t="s">
        <v>433</v>
      </c>
      <c r="E180" s="209" t="s">
        <v>1919</v>
      </c>
      <c r="F180" s="208">
        <v>1.6E-2</v>
      </c>
      <c r="G180" s="208">
        <v>3</v>
      </c>
      <c r="H180" s="209" t="s">
        <v>1916</v>
      </c>
      <c r="I180" s="209" t="s">
        <v>182</v>
      </c>
      <c r="J180" s="209" t="s">
        <v>2060</v>
      </c>
      <c r="K180" s="212" t="s">
        <v>2798</v>
      </c>
      <c r="L180" s="209"/>
      <c r="M180" s="208">
        <v>0</v>
      </c>
      <c r="N180" s="208">
        <v>1.1210762331838564</v>
      </c>
      <c r="O180" s="208">
        <v>0</v>
      </c>
      <c r="P180" s="208">
        <v>1.1723329425556859</v>
      </c>
      <c r="Q180" s="208">
        <v>0</v>
      </c>
      <c r="R180" s="208">
        <v>0.85299999999999998</v>
      </c>
      <c r="S180" s="208">
        <v>0</v>
      </c>
      <c r="T180" s="208">
        <v>0.89200000000000002</v>
      </c>
      <c r="U180" s="280" t="s">
        <v>2061</v>
      </c>
    </row>
    <row r="181" spans="1:21" x14ac:dyDescent="0.25">
      <c r="A181" s="209" t="s">
        <v>2090</v>
      </c>
      <c r="B181" s="209" t="s">
        <v>2091</v>
      </c>
      <c r="C181" s="209" t="s">
        <v>2092</v>
      </c>
      <c r="D181" s="209" t="s">
        <v>433</v>
      </c>
      <c r="E181" s="209" t="s">
        <v>1919</v>
      </c>
      <c r="F181" s="208">
        <v>6.3899999999999998E-3</v>
      </c>
      <c r="G181" s="208">
        <v>3.036</v>
      </c>
      <c r="H181" s="209" t="s">
        <v>1916</v>
      </c>
      <c r="I181" s="209" t="s">
        <v>182</v>
      </c>
      <c r="J181" s="209" t="s">
        <v>2093</v>
      </c>
      <c r="K181" s="212" t="s">
        <v>2798</v>
      </c>
      <c r="L181" s="209"/>
      <c r="M181" s="208">
        <v>0</v>
      </c>
      <c r="N181" s="208">
        <v>1.1299435028248588</v>
      </c>
      <c r="O181" s="208">
        <v>0</v>
      </c>
      <c r="P181" s="208">
        <v>1.2330456226880393</v>
      </c>
      <c r="Q181" s="208">
        <v>0</v>
      </c>
      <c r="R181" s="208">
        <v>0.81100000000000005</v>
      </c>
      <c r="S181" s="208">
        <v>0</v>
      </c>
      <c r="T181" s="208">
        <v>0.88500000000000001</v>
      </c>
      <c r="U181" s="280" t="s">
        <v>2094</v>
      </c>
    </row>
    <row r="182" spans="1:21" x14ac:dyDescent="0.25">
      <c r="A182" s="211" t="s">
        <v>2099</v>
      </c>
      <c r="B182" s="209" t="s">
        <v>2091</v>
      </c>
      <c r="C182" s="209" t="s">
        <v>1911</v>
      </c>
      <c r="D182" s="209" t="s">
        <v>433</v>
      </c>
      <c r="E182" s="209" t="s">
        <v>1919</v>
      </c>
      <c r="F182" s="208">
        <v>6.3899999999999998E-3</v>
      </c>
      <c r="G182" s="208">
        <v>3.036</v>
      </c>
      <c r="H182" s="209" t="s">
        <v>1916</v>
      </c>
      <c r="I182" s="209" t="s">
        <v>182</v>
      </c>
      <c r="J182" s="209" t="s">
        <v>2093</v>
      </c>
      <c r="K182" s="212" t="s">
        <v>2798</v>
      </c>
      <c r="L182" s="209"/>
      <c r="M182" s="208">
        <v>0</v>
      </c>
      <c r="N182" s="208">
        <v>1.1299435028248588</v>
      </c>
      <c r="O182" s="208">
        <v>0</v>
      </c>
      <c r="P182" s="208">
        <v>1.2330456226880393</v>
      </c>
      <c r="Q182" s="208">
        <v>0</v>
      </c>
      <c r="R182" s="208">
        <v>0.81100000000000005</v>
      </c>
      <c r="S182" s="208">
        <v>0</v>
      </c>
      <c r="T182" s="208">
        <v>0.88500000000000001</v>
      </c>
      <c r="U182" s="280" t="s">
        <v>2094</v>
      </c>
    </row>
    <row r="183" spans="1:21" x14ac:dyDescent="0.25">
      <c r="A183" s="211" t="s">
        <v>2064</v>
      </c>
      <c r="B183" s="209" t="s">
        <v>2059</v>
      </c>
      <c r="C183" s="209" t="s">
        <v>2065</v>
      </c>
      <c r="D183" s="209" t="s">
        <v>433</v>
      </c>
      <c r="E183" s="209" t="s">
        <v>1919</v>
      </c>
      <c r="F183" s="208">
        <v>1.6E-2</v>
      </c>
      <c r="G183" s="208">
        <v>3</v>
      </c>
      <c r="H183" s="209" t="s">
        <v>1916</v>
      </c>
      <c r="I183" s="209" t="s">
        <v>182</v>
      </c>
      <c r="J183" s="209" t="s">
        <v>2060</v>
      </c>
      <c r="K183" s="212" t="s">
        <v>2798</v>
      </c>
      <c r="L183" s="209"/>
      <c r="M183" s="208">
        <v>0</v>
      </c>
      <c r="N183" s="208">
        <v>1.1210762331838564</v>
      </c>
      <c r="O183" s="208">
        <v>0</v>
      </c>
      <c r="P183" s="208">
        <v>1.1723329425556859</v>
      </c>
      <c r="Q183" s="208">
        <v>0</v>
      </c>
      <c r="R183" s="208">
        <v>0.85299999999999998</v>
      </c>
      <c r="S183" s="208">
        <v>0</v>
      </c>
      <c r="T183" s="208">
        <v>0.89200000000000002</v>
      </c>
      <c r="U183" s="280" t="s">
        <v>2061</v>
      </c>
    </row>
    <row r="184" spans="1:21" x14ac:dyDescent="0.25">
      <c r="A184" s="211" t="s">
        <v>2066</v>
      </c>
      <c r="B184" s="209" t="s">
        <v>2059</v>
      </c>
      <c r="C184" s="209" t="s">
        <v>1911</v>
      </c>
      <c r="D184" s="209" t="s">
        <v>433</v>
      </c>
      <c r="E184" s="209" t="s">
        <v>1919</v>
      </c>
      <c r="F184" s="208">
        <v>1.6E-2</v>
      </c>
      <c r="G184" s="208">
        <v>3</v>
      </c>
      <c r="H184" s="209" t="s">
        <v>1916</v>
      </c>
      <c r="I184" s="209" t="s">
        <v>182</v>
      </c>
      <c r="J184" s="209" t="s">
        <v>2060</v>
      </c>
      <c r="K184" s="212" t="s">
        <v>2798</v>
      </c>
      <c r="L184" s="209"/>
      <c r="M184" s="208">
        <v>0</v>
      </c>
      <c r="N184" s="208">
        <v>1.1210762331838564</v>
      </c>
      <c r="O184" s="208">
        <v>0</v>
      </c>
      <c r="P184" s="208">
        <v>1.1723329425556859</v>
      </c>
      <c r="Q184" s="208">
        <v>0</v>
      </c>
      <c r="R184" s="208">
        <v>0.85299999999999998</v>
      </c>
      <c r="S184" s="208">
        <v>0</v>
      </c>
      <c r="T184" s="208">
        <v>0.89200000000000002</v>
      </c>
      <c r="U184" s="280" t="s">
        <v>2061</v>
      </c>
    </row>
    <row r="185" spans="1:21" x14ac:dyDescent="0.25">
      <c r="A185" s="209" t="s">
        <v>2067</v>
      </c>
      <c r="B185" s="209" t="s">
        <v>2059</v>
      </c>
      <c r="C185" s="209" t="s">
        <v>2068</v>
      </c>
      <c r="D185" s="209" t="s">
        <v>433</v>
      </c>
      <c r="E185" s="209" t="s">
        <v>1919</v>
      </c>
      <c r="F185" s="208">
        <v>1.6E-2</v>
      </c>
      <c r="G185" s="208">
        <v>3</v>
      </c>
      <c r="H185" s="209" t="s">
        <v>1916</v>
      </c>
      <c r="I185" s="209" t="s">
        <v>182</v>
      </c>
      <c r="J185" s="209" t="s">
        <v>2060</v>
      </c>
      <c r="K185" s="212" t="s">
        <v>2798</v>
      </c>
      <c r="L185" s="209"/>
      <c r="M185" s="208">
        <v>0</v>
      </c>
      <c r="N185" s="208">
        <v>1.1210762331838564</v>
      </c>
      <c r="O185" s="208">
        <v>0</v>
      </c>
      <c r="P185" s="208">
        <v>1.1723329425556859</v>
      </c>
      <c r="Q185" s="208">
        <v>0</v>
      </c>
      <c r="R185" s="208">
        <v>0.85299999999999998</v>
      </c>
      <c r="S185" s="208">
        <v>0</v>
      </c>
      <c r="T185" s="208">
        <v>0.89200000000000002</v>
      </c>
      <c r="U185" s="280" t="s">
        <v>2061</v>
      </c>
    </row>
    <row r="186" spans="1:21" x14ac:dyDescent="0.25">
      <c r="A186" s="211" t="s">
        <v>2227</v>
      </c>
      <c r="B186" s="209" t="s">
        <v>2228</v>
      </c>
      <c r="C186" s="209" t="s">
        <v>1911</v>
      </c>
      <c r="D186" s="209" t="s">
        <v>461</v>
      </c>
      <c r="E186" s="209" t="s">
        <v>1914</v>
      </c>
      <c r="F186" s="208">
        <v>4.4833333333333331E-3</v>
      </c>
      <c r="G186" s="208">
        <v>3.0956666666666668</v>
      </c>
      <c r="H186" s="209" t="s">
        <v>1916</v>
      </c>
      <c r="I186" s="209" t="s">
        <v>182</v>
      </c>
      <c r="J186" s="209" t="s">
        <v>1924</v>
      </c>
      <c r="K186" s="212" t="s">
        <v>2798</v>
      </c>
      <c r="L186" s="209"/>
      <c r="M186" s="208">
        <v>0</v>
      </c>
      <c r="N186" s="208">
        <v>1.0449999999999999</v>
      </c>
      <c r="O186" s="208">
        <v>0</v>
      </c>
      <c r="P186" s="208">
        <v>1.073</v>
      </c>
      <c r="Q186" s="208">
        <v>0</v>
      </c>
      <c r="R186" s="208">
        <v>0.93196644920782856</v>
      </c>
      <c r="S186" s="208">
        <v>0</v>
      </c>
      <c r="T186" s="208">
        <v>0.95693779904306231</v>
      </c>
      <c r="U186" s="280" t="s">
        <v>2229</v>
      </c>
    </row>
    <row r="187" spans="1:21" x14ac:dyDescent="0.25">
      <c r="A187" s="211" t="s">
        <v>2230</v>
      </c>
      <c r="B187" s="209" t="s">
        <v>2228</v>
      </c>
      <c r="C187" s="209" t="s">
        <v>2231</v>
      </c>
      <c r="D187" s="209" t="s">
        <v>456</v>
      </c>
      <c r="E187" s="209" t="s">
        <v>1919</v>
      </c>
      <c r="F187" s="208">
        <v>4.4833333333333331E-3</v>
      </c>
      <c r="G187" s="208">
        <v>3.0956666666666668</v>
      </c>
      <c r="H187" s="209" t="s">
        <v>1916</v>
      </c>
      <c r="I187" s="209" t="s">
        <v>182</v>
      </c>
      <c r="J187" s="209" t="s">
        <v>1924</v>
      </c>
      <c r="K187" s="212" t="s">
        <v>2798</v>
      </c>
      <c r="L187" s="209"/>
      <c r="M187" s="208">
        <v>0</v>
      </c>
      <c r="N187" s="208">
        <v>1.0449999999999999</v>
      </c>
      <c r="O187" s="208">
        <v>0</v>
      </c>
      <c r="P187" s="208">
        <v>1.073</v>
      </c>
      <c r="Q187" s="208">
        <v>0</v>
      </c>
      <c r="R187" s="208">
        <v>0.93196644920782856</v>
      </c>
      <c r="S187" s="208">
        <v>0</v>
      </c>
      <c r="T187" s="208">
        <v>0.95693779904306231</v>
      </c>
      <c r="U187" s="280" t="s">
        <v>2229</v>
      </c>
    </row>
    <row r="188" spans="1:21" x14ac:dyDescent="0.25">
      <c r="A188" s="211" t="s">
        <v>2232</v>
      </c>
      <c r="B188" s="209" t="s">
        <v>2228</v>
      </c>
      <c r="C188" s="209" t="s">
        <v>2233</v>
      </c>
      <c r="D188" s="209" t="s">
        <v>461</v>
      </c>
      <c r="E188" s="209" t="s">
        <v>1914</v>
      </c>
      <c r="F188" s="208">
        <v>4.4833333333333331E-3</v>
      </c>
      <c r="G188" s="208">
        <v>3.0956666666666668</v>
      </c>
      <c r="H188" s="209" t="s">
        <v>1916</v>
      </c>
      <c r="I188" s="209" t="s">
        <v>182</v>
      </c>
      <c r="J188" s="209" t="s">
        <v>1924</v>
      </c>
      <c r="K188" s="212" t="s">
        <v>2798</v>
      </c>
      <c r="L188" s="209"/>
      <c r="M188" s="208">
        <v>0</v>
      </c>
      <c r="N188" s="208">
        <v>1.0449999999999999</v>
      </c>
      <c r="O188" s="208">
        <v>0</v>
      </c>
      <c r="P188" s="208">
        <v>1.073</v>
      </c>
      <c r="Q188" s="208">
        <v>0</v>
      </c>
      <c r="R188" s="208">
        <v>0.93196644920782856</v>
      </c>
      <c r="S188" s="208">
        <v>0</v>
      </c>
      <c r="T188" s="208">
        <v>0.95693779904306231</v>
      </c>
      <c r="U188" s="280" t="s">
        <v>2229</v>
      </c>
    </row>
    <row r="189" spans="1:21" x14ac:dyDescent="0.25">
      <c r="A189" s="211" t="s">
        <v>2193</v>
      </c>
      <c r="B189" s="209" t="s">
        <v>2178</v>
      </c>
      <c r="C189" s="209" t="s">
        <v>1911</v>
      </c>
      <c r="D189" s="209" t="s">
        <v>456</v>
      </c>
      <c r="E189" s="209" t="s">
        <v>1919</v>
      </c>
      <c r="F189" s="208">
        <v>6.3866667000000002E-2</v>
      </c>
      <c r="G189" s="208">
        <v>2.556333333</v>
      </c>
      <c r="H189" s="209" t="s">
        <v>1923</v>
      </c>
      <c r="I189" s="209" t="s">
        <v>182</v>
      </c>
      <c r="J189" s="209" t="s">
        <v>1924</v>
      </c>
      <c r="K189" s="212" t="s">
        <v>2798</v>
      </c>
      <c r="L189" s="209"/>
      <c r="M189" s="208">
        <v>0</v>
      </c>
      <c r="N189" s="208">
        <v>1.179</v>
      </c>
      <c r="O189" s="208">
        <v>0</v>
      </c>
      <c r="P189" s="208">
        <v>1.232</v>
      </c>
      <c r="Q189" s="208">
        <v>0</v>
      </c>
      <c r="R189" s="208">
        <v>0.78700000000000003</v>
      </c>
      <c r="S189" s="208">
        <v>0</v>
      </c>
      <c r="T189" s="208">
        <v>0.84199999999999997</v>
      </c>
      <c r="U189" s="280" t="s">
        <v>2194</v>
      </c>
    </row>
    <row r="190" spans="1:21" x14ac:dyDescent="0.25">
      <c r="A190" s="211" t="s">
        <v>2195</v>
      </c>
      <c r="B190" s="209" t="s">
        <v>2178</v>
      </c>
      <c r="C190" s="209" t="s">
        <v>2196</v>
      </c>
      <c r="D190" s="209" t="s">
        <v>456</v>
      </c>
      <c r="E190" s="209" t="s">
        <v>1919</v>
      </c>
      <c r="F190" s="208">
        <v>6.3866667000000002E-2</v>
      </c>
      <c r="G190" s="208">
        <v>2.556333333</v>
      </c>
      <c r="H190" s="209" t="s">
        <v>1923</v>
      </c>
      <c r="I190" s="209" t="s">
        <v>182</v>
      </c>
      <c r="J190" s="209" t="s">
        <v>1924</v>
      </c>
      <c r="K190" s="212" t="s">
        <v>2798</v>
      </c>
      <c r="L190" s="209"/>
      <c r="M190" s="218" t="s">
        <v>147</v>
      </c>
      <c r="N190" s="218" t="s">
        <v>147</v>
      </c>
      <c r="O190" s="218" t="s">
        <v>147</v>
      </c>
      <c r="P190" s="218" t="s">
        <v>147</v>
      </c>
      <c r="Q190" s="208">
        <v>0</v>
      </c>
      <c r="R190" s="208">
        <v>0.81100000000000005</v>
      </c>
      <c r="S190" s="208">
        <v>0</v>
      </c>
      <c r="T190" s="208">
        <v>0.84199999999999997</v>
      </c>
      <c r="U190" s="280" t="s">
        <v>2197</v>
      </c>
    </row>
    <row r="191" spans="1:21" x14ac:dyDescent="0.25">
      <c r="A191" s="211" t="s">
        <v>2198</v>
      </c>
      <c r="B191" s="209" t="s">
        <v>2178</v>
      </c>
      <c r="C191" s="209" t="s">
        <v>1911</v>
      </c>
      <c r="D191" s="209" t="s">
        <v>456</v>
      </c>
      <c r="E191" s="209" t="s">
        <v>1919</v>
      </c>
      <c r="F191" s="208">
        <v>6.3866667000000002E-2</v>
      </c>
      <c r="G191" s="208">
        <v>2.556333333</v>
      </c>
      <c r="H191" s="209" t="s">
        <v>1923</v>
      </c>
      <c r="I191" s="209" t="s">
        <v>182</v>
      </c>
      <c r="J191" s="209" t="s">
        <v>1924</v>
      </c>
      <c r="K191" s="212" t="s">
        <v>2798</v>
      </c>
      <c r="L191" s="209"/>
      <c r="M191" s="208">
        <v>0</v>
      </c>
      <c r="N191" s="208">
        <v>1.179</v>
      </c>
      <c r="O191" s="208">
        <v>0</v>
      </c>
      <c r="P191" s="208">
        <v>1.232</v>
      </c>
      <c r="Q191" s="208">
        <v>0</v>
      </c>
      <c r="R191" s="208">
        <v>0.81100000000000005</v>
      </c>
      <c r="S191" s="208">
        <v>0</v>
      </c>
      <c r="T191" s="208">
        <v>0.84899999999999998</v>
      </c>
      <c r="U191" s="280" t="s">
        <v>2199</v>
      </c>
    </row>
    <row r="192" spans="1:21" x14ac:dyDescent="0.25">
      <c r="A192" s="211" t="s">
        <v>905</v>
      </c>
      <c r="B192" s="209" t="s">
        <v>2070</v>
      </c>
      <c r="C192" s="209" t="s">
        <v>2072</v>
      </c>
      <c r="D192" s="209" t="s">
        <v>456</v>
      </c>
      <c r="E192" s="209" t="s">
        <v>1919</v>
      </c>
      <c r="F192" s="208">
        <v>1.8869999999999998E-2</v>
      </c>
      <c r="G192" s="208">
        <v>2.828014</v>
      </c>
      <c r="H192" s="209" t="s">
        <v>1923</v>
      </c>
      <c r="I192" s="209" t="s">
        <v>182</v>
      </c>
      <c r="J192" s="209" t="s">
        <v>1924</v>
      </c>
      <c r="K192" s="212" t="s">
        <v>2798</v>
      </c>
      <c r="L192" s="209"/>
      <c r="M192" s="208">
        <v>0</v>
      </c>
      <c r="N192" s="208">
        <v>1.1299435028248588</v>
      </c>
      <c r="O192" s="208">
        <v>0</v>
      </c>
      <c r="P192" s="208">
        <v>1.2010000000000001</v>
      </c>
      <c r="Q192" s="218" t="s">
        <v>147</v>
      </c>
      <c r="R192" s="218" t="s">
        <v>147</v>
      </c>
      <c r="S192" s="208">
        <v>0</v>
      </c>
      <c r="T192" s="208">
        <v>0.88500000000000001</v>
      </c>
      <c r="U192" s="280" t="s">
        <v>2071</v>
      </c>
    </row>
    <row r="193" spans="1:21" x14ac:dyDescent="0.25">
      <c r="A193" s="211" t="s">
        <v>2181</v>
      </c>
      <c r="B193" s="209" t="s">
        <v>2182</v>
      </c>
      <c r="C193" s="209" t="s">
        <v>2183</v>
      </c>
      <c r="D193" s="209" t="s">
        <v>456</v>
      </c>
      <c r="E193" s="209" t="s">
        <v>1919</v>
      </c>
      <c r="F193" s="208">
        <v>2.225E-3</v>
      </c>
      <c r="G193" s="208">
        <v>2.9329999999999998</v>
      </c>
      <c r="H193" s="209" t="s">
        <v>1916</v>
      </c>
      <c r="I193" s="209" t="s">
        <v>182</v>
      </c>
      <c r="J193" s="209" t="s">
        <v>1924</v>
      </c>
      <c r="K193" s="212" t="s">
        <v>2798</v>
      </c>
      <c r="L193" s="209"/>
      <c r="M193" s="208">
        <v>0</v>
      </c>
      <c r="N193" s="208">
        <v>1.0960000000000001</v>
      </c>
      <c r="O193" s="208">
        <v>0</v>
      </c>
      <c r="P193" s="208">
        <v>1.1299999999999999</v>
      </c>
      <c r="Q193" s="208">
        <v>0</v>
      </c>
      <c r="R193" s="208">
        <v>0.89600000000000002</v>
      </c>
      <c r="S193" s="208">
        <v>0</v>
      </c>
      <c r="T193" s="208">
        <v>0.93899999999999995</v>
      </c>
      <c r="U193" s="280" t="s">
        <v>2184</v>
      </c>
    </row>
    <row r="194" spans="1:21" x14ac:dyDescent="0.25">
      <c r="A194" s="209" t="s">
        <v>1133</v>
      </c>
      <c r="B194" s="209" t="s">
        <v>2178</v>
      </c>
      <c r="C194" s="209" t="s">
        <v>2179</v>
      </c>
      <c r="D194" s="209" t="s">
        <v>456</v>
      </c>
      <c r="E194" s="209" t="s">
        <v>1919</v>
      </c>
      <c r="F194" s="208">
        <v>6.3866666666666669E-2</v>
      </c>
      <c r="G194" s="208">
        <v>2.5563333333333333</v>
      </c>
      <c r="H194" s="209" t="s">
        <v>1923</v>
      </c>
      <c r="I194" s="209" t="s">
        <v>182</v>
      </c>
      <c r="J194" s="209" t="s">
        <v>1924</v>
      </c>
      <c r="K194" s="212" t="s">
        <v>2798</v>
      </c>
      <c r="L194" s="209"/>
      <c r="M194" s="208">
        <v>0</v>
      </c>
      <c r="N194" s="208">
        <v>1.135</v>
      </c>
      <c r="O194" s="208">
        <v>0</v>
      </c>
      <c r="P194" s="208">
        <v>1.18</v>
      </c>
      <c r="Q194" s="208">
        <v>0</v>
      </c>
      <c r="R194" s="208">
        <v>0.749</v>
      </c>
      <c r="S194" s="208">
        <v>0</v>
      </c>
      <c r="T194" s="208">
        <v>0.80700000000000005</v>
      </c>
      <c r="U194" s="280" t="s">
        <v>2180</v>
      </c>
    </row>
    <row r="195" spans="1:21" x14ac:dyDescent="0.25">
      <c r="A195" s="211" t="s">
        <v>1139</v>
      </c>
      <c r="B195" s="209" t="s">
        <v>2185</v>
      </c>
      <c r="C195" s="209" t="s">
        <v>2186</v>
      </c>
      <c r="D195" s="209" t="s">
        <v>456</v>
      </c>
      <c r="E195" s="209" t="s">
        <v>1919</v>
      </c>
      <c r="F195" s="208">
        <v>2.225E-3</v>
      </c>
      <c r="G195" s="208">
        <v>2.9329999999999998</v>
      </c>
      <c r="H195" s="209" t="s">
        <v>1916</v>
      </c>
      <c r="I195" s="209" t="s">
        <v>182</v>
      </c>
      <c r="J195" s="209" t="s">
        <v>1924</v>
      </c>
      <c r="K195" s="212" t="s">
        <v>2798</v>
      </c>
      <c r="L195" s="209"/>
      <c r="M195" s="208">
        <v>0</v>
      </c>
      <c r="N195" s="208">
        <v>1.0960000000000001</v>
      </c>
      <c r="O195" s="208">
        <v>0</v>
      </c>
      <c r="P195" s="208">
        <v>1.1299999999999999</v>
      </c>
      <c r="Q195" s="208">
        <v>0</v>
      </c>
      <c r="R195" s="208">
        <v>0.80300000000000005</v>
      </c>
      <c r="S195" s="208">
        <v>0</v>
      </c>
      <c r="T195" s="208">
        <v>0.85499999999999998</v>
      </c>
      <c r="U195" s="280" t="s">
        <v>2187</v>
      </c>
    </row>
    <row r="196" spans="1:21" x14ac:dyDescent="0.25">
      <c r="A196" s="211" t="s">
        <v>1137</v>
      </c>
      <c r="B196" s="209" t="s">
        <v>2185</v>
      </c>
      <c r="C196" s="209" t="s">
        <v>2188</v>
      </c>
      <c r="D196" s="209" t="s">
        <v>456</v>
      </c>
      <c r="E196" s="209" t="s">
        <v>1919</v>
      </c>
      <c r="F196" s="208">
        <v>2.225E-3</v>
      </c>
      <c r="G196" s="208">
        <v>2.9329999999999998</v>
      </c>
      <c r="H196" s="209" t="s">
        <v>1916</v>
      </c>
      <c r="I196" s="209" t="s">
        <v>182</v>
      </c>
      <c r="J196" s="209" t="s">
        <v>1924</v>
      </c>
      <c r="K196" s="212" t="s">
        <v>2798</v>
      </c>
      <c r="L196" s="209"/>
      <c r="M196" s="208">
        <v>0</v>
      </c>
      <c r="N196" s="208">
        <v>1.0960000000000001</v>
      </c>
      <c r="O196" s="208">
        <v>0</v>
      </c>
      <c r="P196" s="208">
        <v>1.1299999999999999</v>
      </c>
      <c r="Q196" s="208">
        <v>0</v>
      </c>
      <c r="R196" s="208">
        <v>0.80300000000000005</v>
      </c>
      <c r="S196" s="208">
        <v>0</v>
      </c>
      <c r="T196" s="208">
        <v>0.85499999999999998</v>
      </c>
      <c r="U196" s="280" t="s">
        <v>2189</v>
      </c>
    </row>
    <row r="197" spans="1:21" x14ac:dyDescent="0.25">
      <c r="A197" s="211" t="s">
        <v>2200</v>
      </c>
      <c r="B197" s="209" t="s">
        <v>2185</v>
      </c>
      <c r="C197" s="209" t="s">
        <v>2201</v>
      </c>
      <c r="D197" s="209" t="s">
        <v>456</v>
      </c>
      <c r="E197" s="209" t="s">
        <v>1919</v>
      </c>
      <c r="F197" s="208">
        <v>6.3866666666666669E-2</v>
      </c>
      <c r="G197" s="208">
        <v>2.556333333</v>
      </c>
      <c r="H197" s="209" t="s">
        <v>1923</v>
      </c>
      <c r="I197" s="209" t="s">
        <v>182</v>
      </c>
      <c r="J197" s="209" t="s">
        <v>1924</v>
      </c>
      <c r="K197" s="212" t="s">
        <v>2798</v>
      </c>
      <c r="L197" s="209"/>
      <c r="M197" s="208">
        <v>0</v>
      </c>
      <c r="N197" s="208">
        <v>1.135</v>
      </c>
      <c r="O197" s="208">
        <v>0</v>
      </c>
      <c r="P197" s="208">
        <v>1.18</v>
      </c>
      <c r="Q197" s="208">
        <v>0</v>
      </c>
      <c r="R197" s="208">
        <v>0.749</v>
      </c>
      <c r="S197" s="208">
        <v>0</v>
      </c>
      <c r="T197" s="208">
        <v>0.80700000000000005</v>
      </c>
      <c r="U197" s="280" t="s">
        <v>2105</v>
      </c>
    </row>
    <row r="198" spans="1:21" x14ac:dyDescent="0.25">
      <c r="A198" s="211" t="s">
        <v>2202</v>
      </c>
      <c r="B198" s="209" t="s">
        <v>2178</v>
      </c>
      <c r="C198" s="209" t="s">
        <v>2203</v>
      </c>
      <c r="D198" s="209" t="s">
        <v>456</v>
      </c>
      <c r="E198" s="209" t="s">
        <v>1919</v>
      </c>
      <c r="F198" s="208">
        <v>6.3866667000000002E-2</v>
      </c>
      <c r="G198" s="208">
        <v>2.556333333</v>
      </c>
      <c r="H198" s="209" t="s">
        <v>1923</v>
      </c>
      <c r="I198" s="209" t="s">
        <v>182</v>
      </c>
      <c r="J198" s="209" t="s">
        <v>1924</v>
      </c>
      <c r="K198" s="212" t="s">
        <v>2798</v>
      </c>
      <c r="L198" s="209"/>
      <c r="M198" s="208">
        <v>0</v>
      </c>
      <c r="N198" s="208">
        <v>1.135</v>
      </c>
      <c r="O198" s="208">
        <v>0</v>
      </c>
      <c r="P198" s="208">
        <v>1.18</v>
      </c>
      <c r="Q198" s="208">
        <v>0</v>
      </c>
      <c r="R198" s="208">
        <v>0.78900000000000003</v>
      </c>
      <c r="S198" s="208">
        <v>0</v>
      </c>
      <c r="T198" s="208">
        <v>0.82699999999999996</v>
      </c>
      <c r="U198" s="280" t="s">
        <v>2204</v>
      </c>
    </row>
    <row r="199" spans="1:21" x14ac:dyDescent="0.25">
      <c r="A199" s="211" t="s">
        <v>1141</v>
      </c>
      <c r="B199" s="209" t="s">
        <v>2185</v>
      </c>
      <c r="C199" s="209" t="s">
        <v>2208</v>
      </c>
      <c r="D199" s="209" t="s">
        <v>456</v>
      </c>
      <c r="E199" s="209" t="s">
        <v>1919</v>
      </c>
      <c r="F199" s="208">
        <v>2.225E-3</v>
      </c>
      <c r="G199" s="208">
        <v>2.9329999999999998</v>
      </c>
      <c r="H199" s="209" t="s">
        <v>1916</v>
      </c>
      <c r="I199" s="209" t="s">
        <v>182</v>
      </c>
      <c r="J199" s="209" t="s">
        <v>1924</v>
      </c>
      <c r="K199" s="212" t="s">
        <v>2798</v>
      </c>
      <c r="L199" s="209"/>
      <c r="M199" s="208">
        <v>0</v>
      </c>
      <c r="N199" s="208">
        <v>1.1240000000000001</v>
      </c>
      <c r="O199" s="208">
        <v>0</v>
      </c>
      <c r="P199" s="208">
        <v>1.147</v>
      </c>
      <c r="Q199" s="208">
        <v>0</v>
      </c>
      <c r="R199" s="208">
        <v>0.80300000000000005</v>
      </c>
      <c r="S199" s="208">
        <v>0</v>
      </c>
      <c r="T199" s="208">
        <v>0.85499999999999998</v>
      </c>
      <c r="U199" s="280" t="s">
        <v>2209</v>
      </c>
    </row>
    <row r="200" spans="1:21" x14ac:dyDescent="0.25">
      <c r="A200" s="211" t="s">
        <v>1617</v>
      </c>
      <c r="B200" s="209" t="s">
        <v>2545</v>
      </c>
      <c r="C200" s="209" t="s">
        <v>2546</v>
      </c>
      <c r="D200" s="209" t="s">
        <v>456</v>
      </c>
      <c r="E200" s="209" t="s">
        <v>1919</v>
      </c>
      <c r="F200" s="208">
        <v>2.2699999999999998E-2</v>
      </c>
      <c r="G200" s="208">
        <v>2.93</v>
      </c>
      <c r="H200" s="209" t="s">
        <v>1916</v>
      </c>
      <c r="I200" s="209" t="s">
        <v>182</v>
      </c>
      <c r="J200" s="209" t="s">
        <v>1924</v>
      </c>
      <c r="K200" s="212" t="s">
        <v>2798</v>
      </c>
      <c r="L200" s="209"/>
      <c r="M200" s="208">
        <v>0</v>
      </c>
      <c r="N200" s="208">
        <v>1.099</v>
      </c>
      <c r="O200" s="208">
        <v>0</v>
      </c>
      <c r="P200" s="208">
        <v>1.2170000000000001</v>
      </c>
      <c r="Q200" s="218" t="s">
        <v>147</v>
      </c>
      <c r="R200" s="218" t="s">
        <v>147</v>
      </c>
      <c r="S200" s="218" t="s">
        <v>147</v>
      </c>
      <c r="T200" s="218" t="s">
        <v>147</v>
      </c>
      <c r="U200" s="280" t="s">
        <v>2547</v>
      </c>
    </row>
    <row r="201" spans="1:21" x14ac:dyDescent="0.25">
      <c r="A201" s="211" t="s">
        <v>2190</v>
      </c>
      <c r="B201" s="209" t="s">
        <v>2178</v>
      </c>
      <c r="C201" s="209" t="s">
        <v>2191</v>
      </c>
      <c r="D201" s="209" t="s">
        <v>456</v>
      </c>
      <c r="E201" s="209" t="s">
        <v>1919</v>
      </c>
      <c r="F201" s="208">
        <v>6.3866667000000002E-2</v>
      </c>
      <c r="G201" s="208">
        <v>2.5563333333333333</v>
      </c>
      <c r="H201" s="209" t="s">
        <v>1916</v>
      </c>
      <c r="I201" s="209" t="s">
        <v>182</v>
      </c>
      <c r="J201" s="209" t="s">
        <v>1924</v>
      </c>
      <c r="K201" s="212" t="s">
        <v>2798</v>
      </c>
      <c r="L201" s="209"/>
      <c r="M201" s="208">
        <v>0</v>
      </c>
      <c r="N201" s="208">
        <v>1.135</v>
      </c>
      <c r="O201" s="208">
        <v>0</v>
      </c>
      <c r="P201" s="208">
        <v>1.18</v>
      </c>
      <c r="Q201" s="208">
        <v>0</v>
      </c>
      <c r="R201" s="208">
        <v>0.82499999999999996</v>
      </c>
      <c r="S201" s="218" t="s">
        <v>147</v>
      </c>
      <c r="T201" s="218" t="s">
        <v>147</v>
      </c>
      <c r="U201" s="280" t="s">
        <v>2192</v>
      </c>
    </row>
    <row r="202" spans="1:21" x14ac:dyDescent="0.25">
      <c r="A202" s="211" t="s">
        <v>2205</v>
      </c>
      <c r="B202" s="209" t="s">
        <v>2178</v>
      </c>
      <c r="C202" s="209" t="s">
        <v>2206</v>
      </c>
      <c r="D202" s="209" t="s">
        <v>456</v>
      </c>
      <c r="E202" s="209" t="s">
        <v>1919</v>
      </c>
      <c r="F202" s="208">
        <v>6.3866667000000002E-2</v>
      </c>
      <c r="G202" s="208">
        <v>2.5563333333333333</v>
      </c>
      <c r="H202" s="209" t="s">
        <v>1916</v>
      </c>
      <c r="I202" s="209" t="s">
        <v>182</v>
      </c>
      <c r="J202" s="209" t="s">
        <v>1924</v>
      </c>
      <c r="K202" s="212" t="s">
        <v>2798</v>
      </c>
      <c r="L202" s="209"/>
      <c r="M202" s="208">
        <v>0</v>
      </c>
      <c r="N202" s="208">
        <v>1.135</v>
      </c>
      <c r="O202" s="208">
        <v>0</v>
      </c>
      <c r="P202" s="208">
        <v>1.18</v>
      </c>
      <c r="Q202" s="281"/>
      <c r="R202" s="208">
        <v>0.79700000000000004</v>
      </c>
      <c r="S202" s="208">
        <v>0</v>
      </c>
      <c r="T202" s="208">
        <v>0.83099999999999996</v>
      </c>
      <c r="U202" s="280" t="s">
        <v>2207</v>
      </c>
    </row>
    <row r="203" spans="1:21" x14ac:dyDescent="0.25">
      <c r="A203" s="211" t="s">
        <v>1668</v>
      </c>
      <c r="B203" s="209" t="s">
        <v>2561</v>
      </c>
      <c r="C203" s="209" t="s">
        <v>2563</v>
      </c>
      <c r="D203" s="209" t="s">
        <v>461</v>
      </c>
      <c r="E203" s="209" t="s">
        <v>1914</v>
      </c>
      <c r="F203" s="208">
        <v>6.8217391304347839E-4</v>
      </c>
      <c r="G203" s="208">
        <v>3.1693478260869563</v>
      </c>
      <c r="H203" s="209" t="s">
        <v>1916</v>
      </c>
      <c r="I203" s="209" t="s">
        <v>182</v>
      </c>
      <c r="J203" s="209" t="s">
        <v>1924</v>
      </c>
      <c r="K203" s="212" t="s">
        <v>2798</v>
      </c>
      <c r="L203" s="209"/>
      <c r="M203" s="208">
        <v>0</v>
      </c>
      <c r="N203" s="208">
        <v>1</v>
      </c>
      <c r="O203" s="218" t="s">
        <v>147</v>
      </c>
      <c r="P203" s="218" t="s">
        <v>147</v>
      </c>
      <c r="Q203" s="218" t="s">
        <v>147</v>
      </c>
      <c r="R203" s="218" t="s">
        <v>147</v>
      </c>
      <c r="S203" s="208">
        <v>0</v>
      </c>
      <c r="T203" s="208">
        <v>1</v>
      </c>
      <c r="U203" s="280" t="s">
        <v>2562</v>
      </c>
    </row>
    <row r="204" spans="1:21" x14ac:dyDescent="0.25">
      <c r="A204" s="211" t="s">
        <v>1624</v>
      </c>
      <c r="B204" s="209" t="s">
        <v>1911</v>
      </c>
      <c r="C204" s="209" t="s">
        <v>2263</v>
      </c>
      <c r="D204" s="209" t="s">
        <v>546</v>
      </c>
      <c r="E204" s="209" t="s">
        <v>1914</v>
      </c>
      <c r="F204" s="208">
        <v>1.8599999999999998E-2</v>
      </c>
      <c r="G204" s="208">
        <v>2.8530000000000002</v>
      </c>
      <c r="H204" s="209" t="s">
        <v>1916</v>
      </c>
      <c r="I204" s="209" t="s">
        <v>182</v>
      </c>
      <c r="J204" s="209" t="s">
        <v>2105</v>
      </c>
      <c r="K204" s="212" t="s">
        <v>2798</v>
      </c>
      <c r="L204" s="209" t="s">
        <v>2784</v>
      </c>
      <c r="M204" s="208">
        <v>0</v>
      </c>
      <c r="N204" s="208">
        <v>1.1000000000000001</v>
      </c>
      <c r="O204" s="208">
        <v>0.45933000000000002</v>
      </c>
      <c r="P204" s="208">
        <v>1.1706669999999999</v>
      </c>
      <c r="Q204" s="208">
        <v>0.02</v>
      </c>
      <c r="R204" s="208">
        <v>0.79</v>
      </c>
      <c r="S204" s="208">
        <v>0.32</v>
      </c>
      <c r="T204" s="208">
        <v>0.9</v>
      </c>
      <c r="U204" s="280" t="s">
        <v>2264</v>
      </c>
    </row>
    <row r="205" spans="1:21" x14ac:dyDescent="0.25">
      <c r="A205" s="211" t="s">
        <v>1626</v>
      </c>
      <c r="B205" s="209" t="s">
        <v>1911</v>
      </c>
      <c r="C205" s="209" t="s">
        <v>2265</v>
      </c>
      <c r="D205" s="209" t="s">
        <v>546</v>
      </c>
      <c r="E205" s="209" t="s">
        <v>1914</v>
      </c>
      <c r="F205" s="208">
        <v>2.3300000000000001E-2</v>
      </c>
      <c r="G205" s="208">
        <v>2.9790000000000001</v>
      </c>
      <c r="H205" s="209" t="s">
        <v>2266</v>
      </c>
      <c r="I205" s="209" t="s">
        <v>182</v>
      </c>
      <c r="J205" s="209" t="s">
        <v>2105</v>
      </c>
      <c r="K205" s="212" t="s">
        <v>2798</v>
      </c>
      <c r="L205" s="209" t="s">
        <v>2785</v>
      </c>
      <c r="M205" s="208">
        <v>0</v>
      </c>
      <c r="N205" s="208">
        <v>1.1000000000000001</v>
      </c>
      <c r="O205" s="208">
        <v>0.45933000000000002</v>
      </c>
      <c r="P205" s="208">
        <v>1.1706669999999999</v>
      </c>
      <c r="Q205" s="208">
        <v>0</v>
      </c>
      <c r="R205" s="208">
        <v>0.81499999999999995</v>
      </c>
      <c r="S205" s="218" t="s">
        <v>147</v>
      </c>
      <c r="T205" s="218" t="s">
        <v>147</v>
      </c>
      <c r="U205" s="280" t="s">
        <v>2267</v>
      </c>
    </row>
    <row r="206" spans="1:21" x14ac:dyDescent="0.25">
      <c r="A206" s="211" t="s">
        <v>768</v>
      </c>
      <c r="B206" s="209" t="s">
        <v>1911</v>
      </c>
      <c r="C206" s="209" t="s">
        <v>1918</v>
      </c>
      <c r="D206" s="209" t="s">
        <v>447</v>
      </c>
      <c r="E206" s="209" t="s">
        <v>1919</v>
      </c>
      <c r="F206" s="208">
        <v>1.0200000000000001E-2</v>
      </c>
      <c r="G206" s="208">
        <v>2.7800000000000002</v>
      </c>
      <c r="H206" s="209" t="s">
        <v>1916</v>
      </c>
      <c r="I206" s="209" t="s">
        <v>182</v>
      </c>
      <c r="J206" s="209" t="s">
        <v>1911</v>
      </c>
      <c r="K206" s="212" t="s">
        <v>2798</v>
      </c>
      <c r="L206" s="209"/>
      <c r="M206" s="208">
        <v>0</v>
      </c>
      <c r="N206" s="208">
        <v>1.6207455429497568</v>
      </c>
      <c r="O206" s="208">
        <v>0</v>
      </c>
      <c r="P206" s="208">
        <v>1.6519999999999999</v>
      </c>
      <c r="Q206" s="208">
        <v>0</v>
      </c>
      <c r="R206" s="208">
        <v>0.60532687651331718</v>
      </c>
      <c r="S206" s="208">
        <v>0</v>
      </c>
      <c r="T206" s="208">
        <v>0.61699999999999999</v>
      </c>
      <c r="U206" s="280" t="s">
        <v>1917</v>
      </c>
    </row>
    <row r="207" spans="1:21" x14ac:dyDescent="0.25">
      <c r="A207" s="211" t="s">
        <v>1951</v>
      </c>
      <c r="B207" s="209" t="s">
        <v>1948</v>
      </c>
      <c r="C207" s="209" t="s">
        <v>1952</v>
      </c>
      <c r="D207" s="209" t="s">
        <v>447</v>
      </c>
      <c r="E207" s="209" t="s">
        <v>1914</v>
      </c>
      <c r="F207" s="208">
        <v>5.8266666666666658E-3</v>
      </c>
      <c r="G207" s="208">
        <v>3.0254999999999996</v>
      </c>
      <c r="H207" s="209" t="s">
        <v>1916</v>
      </c>
      <c r="I207" s="209" t="s">
        <v>182</v>
      </c>
      <c r="J207" s="209" t="s">
        <v>1924</v>
      </c>
      <c r="K207" s="212" t="s">
        <v>2798</v>
      </c>
      <c r="L207" s="209"/>
      <c r="M207" s="208">
        <v>0</v>
      </c>
      <c r="N207" s="208">
        <v>1.1273957158962795</v>
      </c>
      <c r="O207" s="208">
        <v>0</v>
      </c>
      <c r="P207" s="208">
        <v>1.2391573729863692</v>
      </c>
      <c r="Q207" s="208">
        <v>0</v>
      </c>
      <c r="R207" s="208">
        <v>0.80700000000000005</v>
      </c>
      <c r="S207" s="208">
        <v>0</v>
      </c>
      <c r="T207" s="208">
        <v>0.88700000000000001</v>
      </c>
      <c r="U207" s="280" t="s">
        <v>1950</v>
      </c>
    </row>
    <row r="208" spans="1:21" x14ac:dyDescent="0.25">
      <c r="A208" s="211" t="s">
        <v>1953</v>
      </c>
      <c r="B208" s="209" t="s">
        <v>1948</v>
      </c>
      <c r="C208" s="209" t="s">
        <v>1954</v>
      </c>
      <c r="D208" s="209" t="s">
        <v>447</v>
      </c>
      <c r="E208" s="209" t="s">
        <v>1914</v>
      </c>
      <c r="F208" s="208">
        <v>5.8266666666666658E-3</v>
      </c>
      <c r="G208" s="208">
        <v>3.0254999999999996</v>
      </c>
      <c r="H208" s="209" t="s">
        <v>1916</v>
      </c>
      <c r="I208" s="209" t="s">
        <v>182</v>
      </c>
      <c r="J208" s="209" t="s">
        <v>1924</v>
      </c>
      <c r="K208" s="212" t="s">
        <v>2798</v>
      </c>
      <c r="L208" s="209"/>
      <c r="M208" s="208">
        <v>0</v>
      </c>
      <c r="N208" s="208">
        <v>1.1273957158962795</v>
      </c>
      <c r="O208" s="208">
        <v>0</v>
      </c>
      <c r="P208" s="208">
        <v>1.2391573729863692</v>
      </c>
      <c r="Q208" s="208">
        <v>0</v>
      </c>
      <c r="R208" s="208">
        <v>0.80700000000000005</v>
      </c>
      <c r="S208" s="208">
        <v>0</v>
      </c>
      <c r="T208" s="208">
        <v>0.88700000000000001</v>
      </c>
      <c r="U208" s="280" t="s">
        <v>1950</v>
      </c>
    </row>
    <row r="209" spans="1:21" x14ac:dyDescent="0.25">
      <c r="A209" s="211" t="s">
        <v>1955</v>
      </c>
      <c r="B209" s="209" t="s">
        <v>1948</v>
      </c>
      <c r="C209" s="209" t="s">
        <v>1956</v>
      </c>
      <c r="D209" s="209" t="s">
        <v>447</v>
      </c>
      <c r="E209" s="209" t="s">
        <v>1914</v>
      </c>
      <c r="F209" s="208">
        <v>5.8266666666666658E-3</v>
      </c>
      <c r="G209" s="208">
        <v>3.0254999999999996</v>
      </c>
      <c r="H209" s="209" t="s">
        <v>1916</v>
      </c>
      <c r="I209" s="209" t="s">
        <v>182</v>
      </c>
      <c r="J209" s="209" t="s">
        <v>1924</v>
      </c>
      <c r="K209" s="212" t="s">
        <v>2798</v>
      </c>
      <c r="L209" s="209"/>
      <c r="M209" s="208">
        <v>0</v>
      </c>
      <c r="N209" s="208">
        <v>1.1273957158962795</v>
      </c>
      <c r="O209" s="208">
        <v>0</v>
      </c>
      <c r="P209" s="208">
        <v>1.2391573729863692</v>
      </c>
      <c r="Q209" s="208">
        <v>0</v>
      </c>
      <c r="R209" s="208">
        <v>0.80700000000000005</v>
      </c>
      <c r="S209" s="208">
        <v>0</v>
      </c>
      <c r="T209" s="208">
        <v>0.88700000000000001</v>
      </c>
      <c r="U209" s="280" t="s">
        <v>1950</v>
      </c>
    </row>
    <row r="210" spans="1:21" x14ac:dyDescent="0.25">
      <c r="A210" s="211" t="s">
        <v>1912</v>
      </c>
      <c r="B210" s="209" t="s">
        <v>1911</v>
      </c>
      <c r="C210" s="209" t="s">
        <v>1913</v>
      </c>
      <c r="D210" s="209" t="s">
        <v>447</v>
      </c>
      <c r="E210" s="209" t="s">
        <v>1914</v>
      </c>
      <c r="F210" s="218" t="s">
        <v>147</v>
      </c>
      <c r="G210" s="218" t="s">
        <v>147</v>
      </c>
      <c r="H210" s="218" t="s">
        <v>147</v>
      </c>
      <c r="I210" s="209" t="s">
        <v>182</v>
      </c>
      <c r="J210" s="209" t="s">
        <v>1911</v>
      </c>
      <c r="K210" s="212" t="s">
        <v>2798</v>
      </c>
      <c r="L210" s="209"/>
      <c r="M210" s="218" t="s">
        <v>147</v>
      </c>
      <c r="N210" s="218" t="s">
        <v>147</v>
      </c>
      <c r="O210" s="218" t="s">
        <v>147</v>
      </c>
      <c r="P210" s="218" t="s">
        <v>147</v>
      </c>
      <c r="Q210" s="218" t="s">
        <v>147</v>
      </c>
      <c r="R210" s="218" t="s">
        <v>147</v>
      </c>
      <c r="S210" s="218" t="s">
        <v>147</v>
      </c>
      <c r="T210" s="218" t="s">
        <v>147</v>
      </c>
      <c r="U210" s="280" t="s">
        <v>1911</v>
      </c>
    </row>
    <row r="211" spans="1:21" x14ac:dyDescent="0.25">
      <c r="A211" s="211" t="s">
        <v>1936</v>
      </c>
      <c r="B211" s="209" t="s">
        <v>1937</v>
      </c>
      <c r="C211" s="209" t="s">
        <v>1938</v>
      </c>
      <c r="D211" s="209" t="s">
        <v>447</v>
      </c>
      <c r="E211" s="209" t="s">
        <v>1914</v>
      </c>
      <c r="F211" s="208">
        <v>3.9100000000000003E-3</v>
      </c>
      <c r="G211" s="208">
        <v>3.116769230769231</v>
      </c>
      <c r="H211" s="209" t="s">
        <v>1916</v>
      </c>
      <c r="I211" s="209" t="s">
        <v>182</v>
      </c>
      <c r="J211" s="209" t="s">
        <v>1924</v>
      </c>
      <c r="K211" s="212" t="s">
        <v>2798</v>
      </c>
      <c r="L211" s="209"/>
      <c r="M211" s="218" t="s">
        <v>147</v>
      </c>
      <c r="N211" s="218" t="s">
        <v>147</v>
      </c>
      <c r="O211" s="208">
        <v>0</v>
      </c>
      <c r="P211" s="208">
        <v>1.177</v>
      </c>
      <c r="Q211" s="208">
        <v>0</v>
      </c>
      <c r="R211" s="208">
        <v>0.84961767204757854</v>
      </c>
      <c r="S211" s="218" t="s">
        <v>147</v>
      </c>
      <c r="T211" s="218" t="s">
        <v>147</v>
      </c>
      <c r="U211" s="280" t="s">
        <v>1939</v>
      </c>
    </row>
    <row r="212" spans="1:21" x14ac:dyDescent="0.25">
      <c r="A212" s="211" t="s">
        <v>781</v>
      </c>
      <c r="B212" s="209" t="s">
        <v>1937</v>
      </c>
      <c r="C212" s="209" t="s">
        <v>1940</v>
      </c>
      <c r="D212" s="209" t="s">
        <v>447</v>
      </c>
      <c r="E212" s="209" t="s">
        <v>1914</v>
      </c>
      <c r="F212" s="208">
        <v>3.3999999999999998E-3</v>
      </c>
      <c r="G212" s="208">
        <v>3.0059999999999998</v>
      </c>
      <c r="H212" s="209" t="s">
        <v>1916</v>
      </c>
      <c r="I212" s="209" t="s">
        <v>182</v>
      </c>
      <c r="J212" s="209" t="s">
        <v>1917</v>
      </c>
      <c r="K212" s="212" t="s">
        <v>2798</v>
      </c>
      <c r="L212" s="209"/>
      <c r="M212" s="218" t="s">
        <v>147</v>
      </c>
      <c r="N212" s="218" t="s">
        <v>147</v>
      </c>
      <c r="O212" s="208">
        <v>0</v>
      </c>
      <c r="P212" s="208">
        <v>1.177</v>
      </c>
      <c r="Q212" s="208">
        <v>0</v>
      </c>
      <c r="R212" s="208">
        <v>0.84961767204757854</v>
      </c>
      <c r="S212" s="218" t="s">
        <v>147</v>
      </c>
      <c r="T212" s="218" t="s">
        <v>147</v>
      </c>
      <c r="U212" s="280" t="s">
        <v>1939</v>
      </c>
    </row>
    <row r="213" spans="1:21" x14ac:dyDescent="0.25">
      <c r="A213" s="211" t="s">
        <v>783</v>
      </c>
      <c r="B213" s="209" t="s">
        <v>1937</v>
      </c>
      <c r="C213" s="209" t="s">
        <v>1941</v>
      </c>
      <c r="D213" s="209" t="s">
        <v>447</v>
      </c>
      <c r="E213" s="209" t="s">
        <v>1914</v>
      </c>
      <c r="F213" s="208">
        <v>3.9100000000000003E-3</v>
      </c>
      <c r="G213" s="208">
        <v>3.116769230769231</v>
      </c>
      <c r="H213" s="209" t="s">
        <v>1916</v>
      </c>
      <c r="I213" s="209" t="s">
        <v>182</v>
      </c>
      <c r="J213" s="209" t="s">
        <v>1924</v>
      </c>
      <c r="K213" s="212" t="s">
        <v>2798</v>
      </c>
      <c r="L213" s="209"/>
      <c r="M213" s="218" t="s">
        <v>147</v>
      </c>
      <c r="N213" s="218" t="s">
        <v>147</v>
      </c>
      <c r="O213" s="208">
        <v>0</v>
      </c>
      <c r="P213" s="208">
        <v>1.177</v>
      </c>
      <c r="Q213" s="208">
        <v>0</v>
      </c>
      <c r="R213" s="208">
        <v>0.84961767204757854</v>
      </c>
      <c r="S213" s="218" t="s">
        <v>147</v>
      </c>
      <c r="T213" s="218" t="s">
        <v>147</v>
      </c>
      <c r="U213" s="280" t="s">
        <v>1939</v>
      </c>
    </row>
    <row r="214" spans="1:21" x14ac:dyDescent="0.25">
      <c r="A214" s="211" t="s">
        <v>1942</v>
      </c>
      <c r="B214" s="209" t="s">
        <v>1937</v>
      </c>
      <c r="C214" s="209" t="s">
        <v>1943</v>
      </c>
      <c r="D214" s="209" t="s">
        <v>447</v>
      </c>
      <c r="E214" s="209" t="s">
        <v>1914</v>
      </c>
      <c r="F214" s="208">
        <v>3.9100000000000003E-3</v>
      </c>
      <c r="G214" s="208">
        <v>3.116769230769231</v>
      </c>
      <c r="H214" s="209" t="s">
        <v>1916</v>
      </c>
      <c r="I214" s="209" t="s">
        <v>182</v>
      </c>
      <c r="J214" s="209" t="s">
        <v>1924</v>
      </c>
      <c r="K214" s="212" t="s">
        <v>2798</v>
      </c>
      <c r="L214" s="209"/>
      <c r="M214" s="218" t="s">
        <v>147</v>
      </c>
      <c r="N214" s="218" t="s">
        <v>147</v>
      </c>
      <c r="O214" s="208">
        <v>0</v>
      </c>
      <c r="P214" s="208">
        <v>1.177</v>
      </c>
      <c r="Q214" s="208">
        <v>0</v>
      </c>
      <c r="R214" s="208">
        <v>0.84961767204757854</v>
      </c>
      <c r="S214" s="218" t="s">
        <v>147</v>
      </c>
      <c r="T214" s="218" t="s">
        <v>147</v>
      </c>
      <c r="U214" s="280" t="s">
        <v>1939</v>
      </c>
    </row>
    <row r="215" spans="1:21" x14ac:dyDescent="0.25">
      <c r="A215" s="209" t="s">
        <v>828</v>
      </c>
      <c r="B215" s="209" t="s">
        <v>1948</v>
      </c>
      <c r="C215" s="209" t="s">
        <v>1949</v>
      </c>
      <c r="D215" s="209" t="s">
        <v>447</v>
      </c>
      <c r="E215" s="209" t="s">
        <v>1914</v>
      </c>
      <c r="F215" s="208">
        <v>5.8266666666666658E-3</v>
      </c>
      <c r="G215" s="208">
        <v>3.0254999999999996</v>
      </c>
      <c r="H215" s="209" t="s">
        <v>1916</v>
      </c>
      <c r="I215" s="209" t="s">
        <v>182</v>
      </c>
      <c r="J215" s="209" t="s">
        <v>1924</v>
      </c>
      <c r="K215" s="212" t="s">
        <v>2798</v>
      </c>
      <c r="L215" s="209"/>
      <c r="M215" s="208">
        <v>0</v>
      </c>
      <c r="N215" s="208">
        <v>1.1273957158962795</v>
      </c>
      <c r="O215" s="208">
        <v>0</v>
      </c>
      <c r="P215" s="208">
        <v>1.2391573729863692</v>
      </c>
      <c r="Q215" s="208">
        <v>0</v>
      </c>
      <c r="R215" s="208">
        <v>0.80700000000000005</v>
      </c>
      <c r="S215" s="208">
        <v>0</v>
      </c>
      <c r="T215" s="208">
        <v>0.88700000000000001</v>
      </c>
      <c r="U215" s="280" t="s">
        <v>1950</v>
      </c>
    </row>
    <row r="216" spans="1:21" x14ac:dyDescent="0.25">
      <c r="A216" s="211" t="s">
        <v>1957</v>
      </c>
      <c r="B216" s="209" t="s">
        <v>1948</v>
      </c>
      <c r="C216" s="209" t="s">
        <v>1958</v>
      </c>
      <c r="D216" s="209" t="s">
        <v>447</v>
      </c>
      <c r="E216" s="209" t="s">
        <v>1914</v>
      </c>
      <c r="F216" s="208">
        <v>5.8266666666666658E-3</v>
      </c>
      <c r="G216" s="208">
        <v>3.0254999999999996</v>
      </c>
      <c r="H216" s="209" t="s">
        <v>1916</v>
      </c>
      <c r="I216" s="209" t="s">
        <v>182</v>
      </c>
      <c r="J216" s="209" t="s">
        <v>1924</v>
      </c>
      <c r="K216" s="212" t="s">
        <v>2798</v>
      </c>
      <c r="L216" s="209"/>
      <c r="M216" s="208">
        <v>0</v>
      </c>
      <c r="N216" s="208">
        <v>1.1273957158962795</v>
      </c>
      <c r="O216" s="208">
        <v>0</v>
      </c>
      <c r="P216" s="208">
        <v>1.2391573729863692</v>
      </c>
      <c r="Q216" s="208">
        <v>0</v>
      </c>
      <c r="R216" s="208">
        <v>0.80700000000000005</v>
      </c>
      <c r="S216" s="208">
        <v>0</v>
      </c>
      <c r="T216" s="208">
        <v>0.88700000000000001</v>
      </c>
      <c r="U216" s="280" t="s">
        <v>1950</v>
      </c>
    </row>
    <row r="217" spans="1:21" x14ac:dyDescent="0.25">
      <c r="A217" s="211" t="s">
        <v>1528</v>
      </c>
      <c r="B217" s="209" t="s">
        <v>2522</v>
      </c>
      <c r="C217" s="209" t="s">
        <v>2532</v>
      </c>
      <c r="D217" s="209" t="s">
        <v>461</v>
      </c>
      <c r="E217" s="209" t="s">
        <v>1914</v>
      </c>
      <c r="F217" s="208">
        <v>7.3345000000000007E-2</v>
      </c>
      <c r="G217" s="208">
        <v>2.7689233333333334</v>
      </c>
      <c r="H217" s="209" t="s">
        <v>1916</v>
      </c>
      <c r="I217" s="209" t="s">
        <v>182</v>
      </c>
      <c r="J217" s="209" t="s">
        <v>1924</v>
      </c>
      <c r="K217" s="212" t="s">
        <v>2798</v>
      </c>
      <c r="L217" s="209"/>
      <c r="M217" s="208">
        <v>0</v>
      </c>
      <c r="N217" s="208">
        <v>1.137</v>
      </c>
      <c r="O217" s="208">
        <v>0</v>
      </c>
      <c r="P217" s="208">
        <v>1.2929999999999999</v>
      </c>
      <c r="Q217" s="208">
        <v>0</v>
      </c>
      <c r="R217" s="208">
        <v>0.77339520494972935</v>
      </c>
      <c r="S217" s="208">
        <v>0</v>
      </c>
      <c r="T217" s="208">
        <v>0.87950747581354438</v>
      </c>
      <c r="U217" s="280" t="s">
        <v>2523</v>
      </c>
    </row>
    <row r="218" spans="1:21" x14ac:dyDescent="0.25">
      <c r="A218" s="211" t="s">
        <v>2521</v>
      </c>
      <c r="B218" s="209" t="s">
        <v>2522</v>
      </c>
      <c r="C218" s="209" t="s">
        <v>1911</v>
      </c>
      <c r="D218" s="209" t="s">
        <v>450</v>
      </c>
      <c r="E218" s="209" t="s">
        <v>1914</v>
      </c>
      <c r="F218" s="208">
        <v>7.3345000000000007E-2</v>
      </c>
      <c r="G218" s="208">
        <v>2.7689233333333334</v>
      </c>
      <c r="H218" s="209" t="s">
        <v>1916</v>
      </c>
      <c r="I218" s="209" t="s">
        <v>182</v>
      </c>
      <c r="J218" s="209" t="s">
        <v>1924</v>
      </c>
      <c r="K218" s="212" t="s">
        <v>2798</v>
      </c>
      <c r="L218" s="209"/>
      <c r="M218" s="208">
        <v>0</v>
      </c>
      <c r="N218" s="208">
        <v>1.137</v>
      </c>
      <c r="O218" s="208">
        <v>0</v>
      </c>
      <c r="P218" s="208">
        <v>1.2929999999999999</v>
      </c>
      <c r="Q218" s="208">
        <v>0</v>
      </c>
      <c r="R218" s="208">
        <v>0.77339520494972935</v>
      </c>
      <c r="S218" s="208">
        <v>0</v>
      </c>
      <c r="T218" s="208">
        <v>0.87950747581354438</v>
      </c>
      <c r="U218" s="280" t="s">
        <v>2523</v>
      </c>
    </row>
    <row r="219" spans="1:21" x14ac:dyDescent="0.25">
      <c r="A219" s="211" t="s">
        <v>1537</v>
      </c>
      <c r="B219" s="209" t="s">
        <v>2522</v>
      </c>
      <c r="C219" s="209" t="s">
        <v>2524</v>
      </c>
      <c r="D219" s="209" t="s">
        <v>450</v>
      </c>
      <c r="E219" s="209" t="s">
        <v>1914</v>
      </c>
      <c r="F219" s="208">
        <v>7.3345000000000007E-2</v>
      </c>
      <c r="G219" s="208">
        <v>2.7689233333333334</v>
      </c>
      <c r="H219" s="209" t="s">
        <v>1916</v>
      </c>
      <c r="I219" s="209" t="s">
        <v>182</v>
      </c>
      <c r="J219" s="209" t="s">
        <v>1924</v>
      </c>
      <c r="K219" s="212" t="s">
        <v>2798</v>
      </c>
      <c r="L219" s="209"/>
      <c r="M219" s="208">
        <v>0</v>
      </c>
      <c r="N219" s="208">
        <v>1.137</v>
      </c>
      <c r="O219" s="208">
        <v>0</v>
      </c>
      <c r="P219" s="208">
        <v>1.2929999999999999</v>
      </c>
      <c r="Q219" s="208">
        <v>0</v>
      </c>
      <c r="R219" s="208">
        <v>0.77339520494972935</v>
      </c>
      <c r="S219" s="208">
        <v>0</v>
      </c>
      <c r="T219" s="208">
        <v>0.87950747581354438</v>
      </c>
      <c r="U219" s="280" t="s">
        <v>2523</v>
      </c>
    </row>
    <row r="220" spans="1:21" x14ac:dyDescent="0.25">
      <c r="A220" s="211" t="s">
        <v>1539</v>
      </c>
      <c r="B220" s="209" t="s">
        <v>2522</v>
      </c>
      <c r="C220" s="209" t="s">
        <v>2525</v>
      </c>
      <c r="D220" s="209" t="s">
        <v>450</v>
      </c>
      <c r="E220" s="209" t="s">
        <v>1914</v>
      </c>
      <c r="F220" s="208">
        <v>7.3345000000000007E-2</v>
      </c>
      <c r="G220" s="208">
        <v>2.7689233333333334</v>
      </c>
      <c r="H220" s="209" t="s">
        <v>1916</v>
      </c>
      <c r="I220" s="209" t="s">
        <v>182</v>
      </c>
      <c r="J220" s="209" t="s">
        <v>1924</v>
      </c>
      <c r="K220" s="212" t="s">
        <v>2798</v>
      </c>
      <c r="L220" s="209"/>
      <c r="M220" s="208">
        <v>0</v>
      </c>
      <c r="N220" s="208">
        <v>1.137</v>
      </c>
      <c r="O220" s="208">
        <v>0</v>
      </c>
      <c r="P220" s="208">
        <v>1.2929999999999999</v>
      </c>
      <c r="Q220" s="208">
        <v>0</v>
      </c>
      <c r="R220" s="208">
        <v>0.77339520494972935</v>
      </c>
      <c r="S220" s="208">
        <v>0</v>
      </c>
      <c r="T220" s="208">
        <v>0.87950747581354438</v>
      </c>
      <c r="U220" s="280" t="s">
        <v>2523</v>
      </c>
    </row>
    <row r="221" spans="1:21" x14ac:dyDescent="0.25">
      <c r="A221" s="211" t="s">
        <v>1541</v>
      </c>
      <c r="B221" s="209" t="s">
        <v>2522</v>
      </c>
      <c r="C221" s="209" t="s">
        <v>2526</v>
      </c>
      <c r="D221" s="209" t="s">
        <v>450</v>
      </c>
      <c r="E221" s="209" t="s">
        <v>1914</v>
      </c>
      <c r="F221" s="208">
        <v>7.3345000000000007E-2</v>
      </c>
      <c r="G221" s="208">
        <v>2.7689233333333334</v>
      </c>
      <c r="H221" s="209" t="s">
        <v>1916</v>
      </c>
      <c r="I221" s="209" t="s">
        <v>182</v>
      </c>
      <c r="J221" s="209" t="s">
        <v>1924</v>
      </c>
      <c r="K221" s="212" t="s">
        <v>2798</v>
      </c>
      <c r="L221" s="209"/>
      <c r="M221" s="208">
        <v>0</v>
      </c>
      <c r="N221" s="208">
        <v>1.137</v>
      </c>
      <c r="O221" s="208">
        <v>0</v>
      </c>
      <c r="P221" s="208">
        <v>1.2929999999999999</v>
      </c>
      <c r="Q221" s="208">
        <v>0</v>
      </c>
      <c r="R221" s="208">
        <v>0.77339520494972935</v>
      </c>
      <c r="S221" s="208">
        <v>0</v>
      </c>
      <c r="T221" s="208">
        <v>0.87950747581354438</v>
      </c>
      <c r="U221" s="280" t="s">
        <v>2523</v>
      </c>
    </row>
    <row r="222" spans="1:21" x14ac:dyDescent="0.25">
      <c r="A222" s="211" t="s">
        <v>1543</v>
      </c>
      <c r="B222" s="209" t="s">
        <v>2522</v>
      </c>
      <c r="C222" s="209" t="s">
        <v>2527</v>
      </c>
      <c r="D222" s="209" t="s">
        <v>450</v>
      </c>
      <c r="E222" s="209" t="s">
        <v>1914</v>
      </c>
      <c r="F222" s="208">
        <v>7.3345000000000007E-2</v>
      </c>
      <c r="G222" s="208">
        <v>2.7689233333333334</v>
      </c>
      <c r="H222" s="209" t="s">
        <v>1916</v>
      </c>
      <c r="I222" s="209" t="s">
        <v>182</v>
      </c>
      <c r="J222" s="209" t="s">
        <v>1924</v>
      </c>
      <c r="K222" s="212" t="s">
        <v>2798</v>
      </c>
      <c r="L222" s="209"/>
      <c r="M222" s="208">
        <v>0</v>
      </c>
      <c r="N222" s="208">
        <v>1.137</v>
      </c>
      <c r="O222" s="208">
        <v>0</v>
      </c>
      <c r="P222" s="208">
        <v>1.2929999999999999</v>
      </c>
      <c r="Q222" s="208">
        <v>0</v>
      </c>
      <c r="R222" s="208">
        <v>0.77339520494972935</v>
      </c>
      <c r="S222" s="208">
        <v>0</v>
      </c>
      <c r="T222" s="208">
        <v>0.87950747581354438</v>
      </c>
      <c r="U222" s="280" t="s">
        <v>2523</v>
      </c>
    </row>
    <row r="223" spans="1:21" x14ac:dyDescent="0.25">
      <c r="A223" s="211" t="s">
        <v>1545</v>
      </c>
      <c r="B223" s="209" t="s">
        <v>2522</v>
      </c>
      <c r="C223" s="209" t="s">
        <v>2529</v>
      </c>
      <c r="D223" s="209" t="s">
        <v>450</v>
      </c>
      <c r="E223" s="209" t="s">
        <v>1914</v>
      </c>
      <c r="F223" s="208">
        <v>7.3345000000000007E-2</v>
      </c>
      <c r="G223" s="208">
        <v>2.7689233333333334</v>
      </c>
      <c r="H223" s="209" t="s">
        <v>1916</v>
      </c>
      <c r="I223" s="209" t="s">
        <v>182</v>
      </c>
      <c r="J223" s="209" t="s">
        <v>1924</v>
      </c>
      <c r="K223" s="212" t="s">
        <v>2798</v>
      </c>
      <c r="L223" s="209"/>
      <c r="M223" s="208">
        <v>0</v>
      </c>
      <c r="N223" s="208">
        <v>1.137</v>
      </c>
      <c r="O223" s="208">
        <v>0</v>
      </c>
      <c r="P223" s="208">
        <v>1.2929999999999999</v>
      </c>
      <c r="Q223" s="208">
        <v>0</v>
      </c>
      <c r="R223" s="208">
        <v>0.77339520494972935</v>
      </c>
      <c r="S223" s="208">
        <v>0</v>
      </c>
      <c r="T223" s="208">
        <v>0.87950747581354438</v>
      </c>
      <c r="U223" s="280" t="s">
        <v>2523</v>
      </c>
    </row>
    <row r="224" spans="1:21" x14ac:dyDescent="0.25">
      <c r="A224" s="211" t="s">
        <v>1547</v>
      </c>
      <c r="B224" s="209" t="s">
        <v>2522</v>
      </c>
      <c r="C224" s="209" t="s">
        <v>2530</v>
      </c>
      <c r="D224" s="209" t="s">
        <v>450</v>
      </c>
      <c r="E224" s="209" t="s">
        <v>1914</v>
      </c>
      <c r="F224" s="208">
        <v>7.3345000000000007E-2</v>
      </c>
      <c r="G224" s="208">
        <v>2.7689233333333334</v>
      </c>
      <c r="H224" s="209" t="s">
        <v>1916</v>
      </c>
      <c r="I224" s="209" t="s">
        <v>182</v>
      </c>
      <c r="J224" s="209" t="s">
        <v>1924</v>
      </c>
      <c r="K224" s="212" t="s">
        <v>2798</v>
      </c>
      <c r="L224" s="209"/>
      <c r="M224" s="208">
        <v>0</v>
      </c>
      <c r="N224" s="208">
        <v>1.137</v>
      </c>
      <c r="O224" s="208">
        <v>0</v>
      </c>
      <c r="P224" s="208">
        <v>1.2929999999999999</v>
      </c>
      <c r="Q224" s="208">
        <v>0</v>
      </c>
      <c r="R224" s="208">
        <v>0.77339520494972935</v>
      </c>
      <c r="S224" s="208">
        <v>0</v>
      </c>
      <c r="T224" s="208">
        <v>0.87950747581354438</v>
      </c>
      <c r="U224" s="280" t="s">
        <v>2523</v>
      </c>
    </row>
    <row r="225" spans="1:21" x14ac:dyDescent="0.25">
      <c r="A225" s="211" t="s">
        <v>1549</v>
      </c>
      <c r="B225" s="209" t="s">
        <v>2522</v>
      </c>
      <c r="C225" s="209" t="s">
        <v>2528</v>
      </c>
      <c r="D225" s="209" t="s">
        <v>450</v>
      </c>
      <c r="E225" s="209" t="s">
        <v>1914</v>
      </c>
      <c r="F225" s="208">
        <v>7.3345000000000007E-2</v>
      </c>
      <c r="G225" s="208">
        <v>2.7689233333333334</v>
      </c>
      <c r="H225" s="209" t="s">
        <v>1916</v>
      </c>
      <c r="I225" s="209" t="s">
        <v>182</v>
      </c>
      <c r="J225" s="209" t="s">
        <v>1924</v>
      </c>
      <c r="K225" s="212" t="s">
        <v>2798</v>
      </c>
      <c r="L225" s="209"/>
      <c r="M225" s="208">
        <v>0</v>
      </c>
      <c r="N225" s="208">
        <v>1.137</v>
      </c>
      <c r="O225" s="208">
        <v>0</v>
      </c>
      <c r="P225" s="208">
        <v>1.2929999999999999</v>
      </c>
      <c r="Q225" s="208">
        <v>0</v>
      </c>
      <c r="R225" s="208">
        <v>0.77339520494972935</v>
      </c>
      <c r="S225" s="208">
        <v>0</v>
      </c>
      <c r="T225" s="208">
        <v>0.87950747581354438</v>
      </c>
      <c r="U225" s="280" t="s">
        <v>2523</v>
      </c>
    </row>
    <row r="226" spans="1:21" x14ac:dyDescent="0.25">
      <c r="A226" s="211" t="s">
        <v>1533</v>
      </c>
      <c r="B226" s="209" t="s">
        <v>2522</v>
      </c>
      <c r="C226" s="209" t="s">
        <v>2531</v>
      </c>
      <c r="D226" s="209" t="s">
        <v>461</v>
      </c>
      <c r="E226" s="209" t="s">
        <v>1914</v>
      </c>
      <c r="F226" s="208">
        <v>7.3345000000000007E-2</v>
      </c>
      <c r="G226" s="208">
        <v>2.7689233333333334</v>
      </c>
      <c r="H226" s="209" t="s">
        <v>1916</v>
      </c>
      <c r="I226" s="209" t="s">
        <v>182</v>
      </c>
      <c r="J226" s="209" t="s">
        <v>1924</v>
      </c>
      <c r="K226" s="212" t="s">
        <v>2798</v>
      </c>
      <c r="L226" s="209"/>
      <c r="M226" s="208">
        <v>0</v>
      </c>
      <c r="N226" s="208">
        <v>1.137</v>
      </c>
      <c r="O226" s="208">
        <v>0</v>
      </c>
      <c r="P226" s="208">
        <v>1.2929999999999999</v>
      </c>
      <c r="Q226" s="208">
        <v>0</v>
      </c>
      <c r="R226" s="208">
        <v>0.77339520494972935</v>
      </c>
      <c r="S226" s="208">
        <v>0</v>
      </c>
      <c r="T226" s="208">
        <v>0.87950747581354438</v>
      </c>
      <c r="U226" s="280" t="s">
        <v>2523</v>
      </c>
    </row>
    <row r="227" spans="1:21" x14ac:dyDescent="0.25">
      <c r="A227" s="211" t="s">
        <v>1553</v>
      </c>
      <c r="B227" s="209" t="s">
        <v>2522</v>
      </c>
      <c r="C227" s="209" t="s">
        <v>2533</v>
      </c>
      <c r="D227" s="209" t="s">
        <v>450</v>
      </c>
      <c r="E227" s="209" t="s">
        <v>1914</v>
      </c>
      <c r="F227" s="208">
        <v>7.3345000000000007E-2</v>
      </c>
      <c r="G227" s="208">
        <v>2.7689233333333334</v>
      </c>
      <c r="H227" s="209" t="s">
        <v>1916</v>
      </c>
      <c r="I227" s="209" t="s">
        <v>182</v>
      </c>
      <c r="J227" s="209" t="s">
        <v>1924</v>
      </c>
      <c r="K227" s="212" t="s">
        <v>2798</v>
      </c>
      <c r="L227" s="209"/>
      <c r="M227" s="208">
        <v>0</v>
      </c>
      <c r="N227" s="208">
        <v>1.137</v>
      </c>
      <c r="O227" s="208">
        <v>0</v>
      </c>
      <c r="P227" s="208">
        <v>1.2929999999999999</v>
      </c>
      <c r="Q227" s="208">
        <v>0</v>
      </c>
      <c r="R227" s="208">
        <v>0.77339520494972935</v>
      </c>
      <c r="S227" s="208">
        <v>0</v>
      </c>
      <c r="T227" s="208">
        <v>0.87950747581354438</v>
      </c>
      <c r="U227" s="280" t="s">
        <v>2523</v>
      </c>
    </row>
    <row r="228" spans="1:21" x14ac:dyDescent="0.25">
      <c r="A228" s="211" t="s">
        <v>2518</v>
      </c>
      <c r="B228" s="209" t="s">
        <v>2491</v>
      </c>
      <c r="C228" s="209" t="s">
        <v>424</v>
      </c>
      <c r="D228" s="209" t="s">
        <v>424</v>
      </c>
      <c r="E228" s="209" t="s">
        <v>1914</v>
      </c>
      <c r="F228" s="208">
        <v>1.4421613E-2</v>
      </c>
      <c r="G228" s="208">
        <v>3.0684109679999998</v>
      </c>
      <c r="H228" s="209" t="s">
        <v>1916</v>
      </c>
      <c r="I228" s="209" t="s">
        <v>182</v>
      </c>
      <c r="J228" s="209" t="s">
        <v>1924</v>
      </c>
      <c r="K228" s="212" t="s">
        <v>2798</v>
      </c>
      <c r="L228" s="209"/>
      <c r="M228" s="208">
        <v>0</v>
      </c>
      <c r="N228" s="208">
        <v>1</v>
      </c>
      <c r="O228" s="208">
        <v>0</v>
      </c>
      <c r="P228" s="208">
        <v>1.2180267965895251</v>
      </c>
      <c r="Q228" s="208">
        <v>0</v>
      </c>
      <c r="R228" s="208">
        <v>0.82099999999999995</v>
      </c>
      <c r="S228" s="208">
        <v>0</v>
      </c>
      <c r="T228" s="208">
        <v>1</v>
      </c>
      <c r="U228" s="280" t="s">
        <v>2493</v>
      </c>
    </row>
    <row r="229" spans="1:21" x14ac:dyDescent="0.25">
      <c r="A229" s="211" t="s">
        <v>1448</v>
      </c>
      <c r="B229" s="209" t="s">
        <v>2449</v>
      </c>
      <c r="C229" s="209" t="s">
        <v>2457</v>
      </c>
      <c r="D229" s="209" t="s">
        <v>427</v>
      </c>
      <c r="E229" s="209" t="s">
        <v>1914</v>
      </c>
      <c r="F229" s="208">
        <v>1.6650277777777774E-2</v>
      </c>
      <c r="G229" s="208">
        <v>2.9921000000000002</v>
      </c>
      <c r="H229" s="209" t="s">
        <v>1916</v>
      </c>
      <c r="I229" s="209" t="s">
        <v>182</v>
      </c>
      <c r="J229" s="209" t="s">
        <v>1924</v>
      </c>
      <c r="K229" s="212" t="s">
        <v>2798</v>
      </c>
      <c r="L229" s="209"/>
      <c r="M229" s="208">
        <v>0</v>
      </c>
      <c r="N229" s="208">
        <v>1.0460251046025104</v>
      </c>
      <c r="O229" s="208">
        <v>0</v>
      </c>
      <c r="P229" s="208">
        <v>1.1919999999999999</v>
      </c>
      <c r="Q229" s="208">
        <v>0</v>
      </c>
      <c r="R229" s="208">
        <v>0.83892617449664431</v>
      </c>
      <c r="S229" s="208">
        <v>0</v>
      </c>
      <c r="T229" s="208">
        <v>0.95599999999999996</v>
      </c>
      <c r="U229" s="280" t="s">
        <v>2451</v>
      </c>
    </row>
    <row r="230" spans="1:21" x14ac:dyDescent="0.25">
      <c r="A230" s="211" t="s">
        <v>1420</v>
      </c>
      <c r="B230" s="209" t="s">
        <v>2421</v>
      </c>
      <c r="C230" s="209" t="s">
        <v>2431</v>
      </c>
      <c r="D230" s="209" t="s">
        <v>456</v>
      </c>
      <c r="E230" s="209" t="s">
        <v>1919</v>
      </c>
      <c r="F230" s="208">
        <v>1.8204285714285704E-2</v>
      </c>
      <c r="G230" s="208">
        <v>2.9027654761904764</v>
      </c>
      <c r="H230" s="209" t="s">
        <v>1916</v>
      </c>
      <c r="I230" s="209" t="s">
        <v>182</v>
      </c>
      <c r="J230" s="209" t="s">
        <v>1924</v>
      </c>
      <c r="K230" s="212" t="s">
        <v>2798</v>
      </c>
      <c r="L230" s="209"/>
      <c r="M230" s="208">
        <v>0</v>
      </c>
      <c r="N230" s="208">
        <v>1.1339999999999999</v>
      </c>
      <c r="O230" s="208">
        <v>0</v>
      </c>
      <c r="P230" s="208">
        <v>1.2450000000000001</v>
      </c>
      <c r="Q230" s="208">
        <v>0</v>
      </c>
      <c r="R230" s="208">
        <v>0.80321285140562237</v>
      </c>
      <c r="S230" s="208">
        <v>0</v>
      </c>
      <c r="T230" s="208">
        <v>0.88183421516754856</v>
      </c>
      <c r="U230" s="280" t="s">
        <v>2423</v>
      </c>
    </row>
    <row r="231" spans="1:21" x14ac:dyDescent="0.25">
      <c r="A231" s="211" t="s">
        <v>2338</v>
      </c>
      <c r="B231" s="209" t="s">
        <v>2335</v>
      </c>
      <c r="C231" s="209" t="s">
        <v>2339</v>
      </c>
      <c r="D231" s="209" t="s">
        <v>450</v>
      </c>
      <c r="E231" s="209" t="s">
        <v>1914</v>
      </c>
      <c r="F231" s="208">
        <v>1.6951367521367521E-2</v>
      </c>
      <c r="G231" s="208">
        <v>3.0200282051282055</v>
      </c>
      <c r="H231" s="209" t="s">
        <v>1916</v>
      </c>
      <c r="I231" s="209" t="s">
        <v>182</v>
      </c>
      <c r="J231" s="209" t="s">
        <v>1924</v>
      </c>
      <c r="K231" s="212" t="s">
        <v>2798</v>
      </c>
      <c r="L231" s="209"/>
      <c r="M231" s="208">
        <v>0</v>
      </c>
      <c r="N231" s="208">
        <v>1.3149999999999999</v>
      </c>
      <c r="O231" s="208">
        <v>0</v>
      </c>
      <c r="P231" s="208">
        <v>1.5329999999999999</v>
      </c>
      <c r="Q231" s="208">
        <v>0</v>
      </c>
      <c r="R231" s="208">
        <v>0.65231572080887157</v>
      </c>
      <c r="S231" s="208">
        <v>0</v>
      </c>
      <c r="T231" s="208">
        <v>0.76045627376425862</v>
      </c>
      <c r="U231" s="280" t="s">
        <v>2337</v>
      </c>
    </row>
    <row r="232" spans="1:21" x14ac:dyDescent="0.25">
      <c r="A232" s="211" t="s">
        <v>1327</v>
      </c>
      <c r="B232" s="209" t="s">
        <v>2335</v>
      </c>
      <c r="C232" s="209" t="s">
        <v>2341</v>
      </c>
      <c r="D232" s="209" t="s">
        <v>450</v>
      </c>
      <c r="E232" s="209" t="s">
        <v>1914</v>
      </c>
      <c r="F232" s="208">
        <v>1.6951367521367521E-2</v>
      </c>
      <c r="G232" s="208">
        <v>3.0200282051282055</v>
      </c>
      <c r="H232" s="209" t="s">
        <v>1916</v>
      </c>
      <c r="I232" s="209" t="s">
        <v>182</v>
      </c>
      <c r="J232" s="209" t="s">
        <v>1924</v>
      </c>
      <c r="K232" s="212" t="s">
        <v>2798</v>
      </c>
      <c r="L232" s="209"/>
      <c r="M232" s="208">
        <v>0</v>
      </c>
      <c r="N232" s="208">
        <v>1.3149999999999999</v>
      </c>
      <c r="O232" s="208">
        <v>0</v>
      </c>
      <c r="P232" s="208">
        <v>1.5329999999999999</v>
      </c>
      <c r="Q232" s="208">
        <v>0</v>
      </c>
      <c r="R232" s="208">
        <v>0.65231572080887157</v>
      </c>
      <c r="S232" s="208">
        <v>0</v>
      </c>
      <c r="T232" s="208">
        <v>0.76045627376425862</v>
      </c>
      <c r="U232" s="280" t="s">
        <v>2337</v>
      </c>
    </row>
    <row r="233" spans="1:21" x14ac:dyDescent="0.25">
      <c r="A233" s="211" t="s">
        <v>1325</v>
      </c>
      <c r="B233" s="209" t="s">
        <v>2335</v>
      </c>
      <c r="C233" s="209" t="s">
        <v>2340</v>
      </c>
      <c r="D233" s="209" t="s">
        <v>450</v>
      </c>
      <c r="E233" s="209" t="s">
        <v>1914</v>
      </c>
      <c r="F233" s="208">
        <v>1.6951367521367521E-2</v>
      </c>
      <c r="G233" s="208">
        <v>3.0200282051282055</v>
      </c>
      <c r="H233" s="209" t="s">
        <v>1916</v>
      </c>
      <c r="I233" s="209" t="s">
        <v>182</v>
      </c>
      <c r="J233" s="209" t="s">
        <v>1924</v>
      </c>
      <c r="K233" s="212" t="s">
        <v>2798</v>
      </c>
      <c r="L233" s="209"/>
      <c r="M233" s="208">
        <v>0</v>
      </c>
      <c r="N233" s="208">
        <v>1.3149999999999999</v>
      </c>
      <c r="O233" s="208">
        <v>0</v>
      </c>
      <c r="P233" s="208">
        <v>1.5329999999999999</v>
      </c>
      <c r="Q233" s="208">
        <v>0</v>
      </c>
      <c r="R233" s="208">
        <v>0.65231572080887157</v>
      </c>
      <c r="S233" s="208">
        <v>0</v>
      </c>
      <c r="T233" s="208">
        <v>0.76045627376425862</v>
      </c>
      <c r="U233" s="280" t="s">
        <v>2337</v>
      </c>
    </row>
    <row r="234" spans="1:21" x14ac:dyDescent="0.25">
      <c r="A234" s="211" t="s">
        <v>2496</v>
      </c>
      <c r="B234" s="209" t="s">
        <v>2491</v>
      </c>
      <c r="C234" s="209" t="s">
        <v>2497</v>
      </c>
      <c r="D234" s="209" t="s">
        <v>2498</v>
      </c>
      <c r="E234" s="209" t="s">
        <v>1914</v>
      </c>
      <c r="F234" s="208">
        <v>1.4421613E-2</v>
      </c>
      <c r="G234" s="208">
        <v>3.0684109679999998</v>
      </c>
      <c r="H234" s="209" t="s">
        <v>1916</v>
      </c>
      <c r="I234" s="209" t="s">
        <v>182</v>
      </c>
      <c r="J234" s="209" t="s">
        <v>1924</v>
      </c>
      <c r="K234" s="212" t="s">
        <v>2798</v>
      </c>
      <c r="L234" s="209"/>
      <c r="M234" s="208">
        <v>0</v>
      </c>
      <c r="N234" s="208">
        <v>1</v>
      </c>
      <c r="O234" s="208">
        <v>0</v>
      </c>
      <c r="P234" s="208">
        <v>1.2180267965895251</v>
      </c>
      <c r="Q234" s="208">
        <v>0</v>
      </c>
      <c r="R234" s="208">
        <v>0.82099999999999995</v>
      </c>
      <c r="S234" s="208">
        <v>0</v>
      </c>
      <c r="T234" s="208">
        <v>1</v>
      </c>
      <c r="U234" s="280" t="s">
        <v>2493</v>
      </c>
    </row>
    <row r="235" spans="1:21" x14ac:dyDescent="0.25">
      <c r="A235" s="211" t="s">
        <v>1564</v>
      </c>
      <c r="B235" s="209" t="s">
        <v>2491</v>
      </c>
      <c r="C235" s="209" t="s">
        <v>2499</v>
      </c>
      <c r="D235" s="209" t="s">
        <v>461</v>
      </c>
      <c r="E235" s="209" t="s">
        <v>1914</v>
      </c>
      <c r="F235" s="208">
        <v>1.4421613E-2</v>
      </c>
      <c r="G235" s="208">
        <v>3.0684109679999998</v>
      </c>
      <c r="H235" s="209" t="s">
        <v>1916</v>
      </c>
      <c r="I235" s="209" t="s">
        <v>182</v>
      </c>
      <c r="J235" s="209" t="s">
        <v>1924</v>
      </c>
      <c r="K235" s="212" t="s">
        <v>2798</v>
      </c>
      <c r="L235" s="209"/>
      <c r="M235" s="208">
        <v>0</v>
      </c>
      <c r="N235" s="208">
        <v>1</v>
      </c>
      <c r="O235" s="208">
        <v>0</v>
      </c>
      <c r="P235" s="208">
        <v>1.2180267965895251</v>
      </c>
      <c r="Q235" s="208">
        <v>0</v>
      </c>
      <c r="R235" s="208">
        <v>0.82099999999999995</v>
      </c>
      <c r="S235" s="208">
        <v>0</v>
      </c>
      <c r="T235" s="208">
        <v>1</v>
      </c>
      <c r="U235" s="280" t="s">
        <v>2493</v>
      </c>
    </row>
    <row r="236" spans="1:21" x14ac:dyDescent="0.25">
      <c r="A236" s="211" t="s">
        <v>1560</v>
      </c>
      <c r="B236" s="209" t="s">
        <v>2491</v>
      </c>
      <c r="C236" s="209" t="s">
        <v>2501</v>
      </c>
      <c r="D236" s="209" t="s">
        <v>461</v>
      </c>
      <c r="E236" s="209" t="s">
        <v>1914</v>
      </c>
      <c r="F236" s="208">
        <v>1.4421613E-2</v>
      </c>
      <c r="G236" s="208">
        <v>3.0684109679999998</v>
      </c>
      <c r="H236" s="209" t="s">
        <v>1916</v>
      </c>
      <c r="I236" s="209" t="s">
        <v>182</v>
      </c>
      <c r="J236" s="209" t="s">
        <v>1924</v>
      </c>
      <c r="K236" s="212" t="s">
        <v>2798</v>
      </c>
      <c r="L236" s="209"/>
      <c r="M236" s="208">
        <v>0</v>
      </c>
      <c r="N236" s="208">
        <v>1</v>
      </c>
      <c r="O236" s="208">
        <v>0</v>
      </c>
      <c r="P236" s="208">
        <v>1.2180267965895251</v>
      </c>
      <c r="Q236" s="208">
        <v>0</v>
      </c>
      <c r="R236" s="208">
        <v>0.82099999999999995</v>
      </c>
      <c r="S236" s="208">
        <v>0</v>
      </c>
      <c r="T236" s="208">
        <v>1</v>
      </c>
      <c r="U236" s="280" t="s">
        <v>2493</v>
      </c>
    </row>
    <row r="237" spans="1:21" x14ac:dyDescent="0.25">
      <c r="A237" s="211" t="s">
        <v>1530</v>
      </c>
      <c r="B237" s="209" t="s">
        <v>2522</v>
      </c>
      <c r="C237" s="209" t="s">
        <v>2535</v>
      </c>
      <c r="D237" s="209" t="s">
        <v>450</v>
      </c>
      <c r="E237" s="209" t="s">
        <v>1914</v>
      </c>
      <c r="F237" s="208">
        <v>7.3345000000000007E-2</v>
      </c>
      <c r="G237" s="208">
        <v>2.7689233333333334</v>
      </c>
      <c r="H237" s="209" t="s">
        <v>1916</v>
      </c>
      <c r="I237" s="209" t="s">
        <v>182</v>
      </c>
      <c r="J237" s="209" t="s">
        <v>1924</v>
      </c>
      <c r="K237" s="212" t="s">
        <v>2798</v>
      </c>
      <c r="L237" s="209"/>
      <c r="M237" s="208">
        <v>0</v>
      </c>
      <c r="N237" s="208">
        <v>1.137</v>
      </c>
      <c r="O237" s="208">
        <v>0</v>
      </c>
      <c r="P237" s="208">
        <v>1.2929999999999999</v>
      </c>
      <c r="Q237" s="208">
        <v>0</v>
      </c>
      <c r="R237" s="208">
        <v>0.77339520494972935</v>
      </c>
      <c r="S237" s="208">
        <v>0</v>
      </c>
      <c r="T237" s="208">
        <v>0.87950747581354438</v>
      </c>
      <c r="U237" s="280" t="s">
        <v>2523</v>
      </c>
    </row>
    <row r="238" spans="1:21" x14ac:dyDescent="0.25">
      <c r="A238" s="211" t="s">
        <v>1566</v>
      </c>
      <c r="B238" s="209" t="s">
        <v>2491</v>
      </c>
      <c r="C238" s="209" t="s">
        <v>2494</v>
      </c>
      <c r="D238" s="209" t="s">
        <v>461</v>
      </c>
      <c r="E238" s="209" t="s">
        <v>1914</v>
      </c>
      <c r="F238" s="208">
        <v>1.4421613E-2</v>
      </c>
      <c r="G238" s="208">
        <v>3.0684109679999998</v>
      </c>
      <c r="H238" s="209" t="s">
        <v>1916</v>
      </c>
      <c r="I238" s="209" t="s">
        <v>182</v>
      </c>
      <c r="J238" s="209" t="s">
        <v>1924</v>
      </c>
      <c r="K238" s="212" t="s">
        <v>2798</v>
      </c>
      <c r="L238" s="209"/>
      <c r="M238" s="208">
        <v>0</v>
      </c>
      <c r="N238" s="208">
        <v>1</v>
      </c>
      <c r="O238" s="208">
        <v>0</v>
      </c>
      <c r="P238" s="208">
        <v>1.2180267965895251</v>
      </c>
      <c r="Q238" s="208">
        <v>0</v>
      </c>
      <c r="R238" s="208">
        <v>0.82099999999999995</v>
      </c>
      <c r="S238" s="208">
        <v>0</v>
      </c>
      <c r="T238" s="208">
        <v>1</v>
      </c>
      <c r="U238" s="280" t="s">
        <v>2493</v>
      </c>
    </row>
    <row r="239" spans="1:21" x14ac:dyDescent="0.25">
      <c r="A239" s="211" t="s">
        <v>893</v>
      </c>
      <c r="B239" s="209" t="s">
        <v>1989</v>
      </c>
      <c r="C239" s="209" t="s">
        <v>1990</v>
      </c>
      <c r="D239" s="209" t="s">
        <v>556</v>
      </c>
      <c r="E239" s="209" t="s">
        <v>1914</v>
      </c>
      <c r="F239" s="208">
        <v>8.0000000000000004E-4</v>
      </c>
      <c r="G239" s="208">
        <v>3.34</v>
      </c>
      <c r="H239" s="209" t="s">
        <v>1916</v>
      </c>
      <c r="I239" s="209" t="s">
        <v>182</v>
      </c>
      <c r="J239" s="209" t="s">
        <v>1924</v>
      </c>
      <c r="K239" s="212" t="s">
        <v>2798</v>
      </c>
      <c r="L239" s="209" t="s">
        <v>2786</v>
      </c>
      <c r="M239" s="208">
        <v>0</v>
      </c>
      <c r="N239" s="208">
        <v>1</v>
      </c>
      <c r="O239" s="208">
        <v>0</v>
      </c>
      <c r="P239" s="208">
        <v>1.4326647564469914</v>
      </c>
      <c r="Q239" s="208">
        <v>0</v>
      </c>
      <c r="R239" s="208">
        <v>0.69799999999999995</v>
      </c>
      <c r="S239" s="208">
        <v>0</v>
      </c>
      <c r="T239" s="208">
        <v>1</v>
      </c>
      <c r="U239" s="280" t="s">
        <v>1991</v>
      </c>
    </row>
    <row r="240" spans="1:21" x14ac:dyDescent="0.25">
      <c r="A240" s="211" t="s">
        <v>1997</v>
      </c>
      <c r="B240" s="209" t="s">
        <v>1989</v>
      </c>
      <c r="C240" s="209" t="s">
        <v>1998</v>
      </c>
      <c r="D240" s="209" t="s">
        <v>556</v>
      </c>
      <c r="E240" s="209" t="s">
        <v>1914</v>
      </c>
      <c r="F240" s="208">
        <v>8.0000000000000004E-4</v>
      </c>
      <c r="G240" s="208">
        <v>3.34</v>
      </c>
      <c r="H240" s="209" t="s">
        <v>1916</v>
      </c>
      <c r="I240" s="209" t="s">
        <v>182</v>
      </c>
      <c r="J240" s="209" t="s">
        <v>1924</v>
      </c>
      <c r="K240" s="212" t="s">
        <v>2798</v>
      </c>
      <c r="L240" s="209"/>
      <c r="M240" s="208">
        <v>0</v>
      </c>
      <c r="N240" s="208">
        <v>1</v>
      </c>
      <c r="O240" s="208">
        <v>0</v>
      </c>
      <c r="P240" s="208">
        <v>1.4326647564469914</v>
      </c>
      <c r="Q240" s="208">
        <v>0</v>
      </c>
      <c r="R240" s="208">
        <v>0.69799999999999995</v>
      </c>
      <c r="S240" s="208">
        <v>0</v>
      </c>
      <c r="T240" s="208">
        <v>1</v>
      </c>
      <c r="U240" s="280" t="s">
        <v>1991</v>
      </c>
    </row>
    <row r="241" spans="1:21" x14ac:dyDescent="0.25">
      <c r="A241" s="211" t="s">
        <v>1976</v>
      </c>
      <c r="B241" s="209" t="s">
        <v>1963</v>
      </c>
      <c r="C241" s="209" t="s">
        <v>1977</v>
      </c>
      <c r="D241" s="209" t="s">
        <v>556</v>
      </c>
      <c r="E241" s="209" t="s">
        <v>1914</v>
      </c>
      <c r="F241" s="208">
        <v>2.6858823529411768E-3</v>
      </c>
      <c r="G241" s="208">
        <v>3.3237235294117644</v>
      </c>
      <c r="H241" s="209" t="s">
        <v>1916</v>
      </c>
      <c r="I241" s="209" t="s">
        <v>182</v>
      </c>
      <c r="J241" s="209" t="s">
        <v>1924</v>
      </c>
      <c r="K241" s="212" t="s">
        <v>2798</v>
      </c>
      <c r="L241" s="209"/>
      <c r="M241" s="208">
        <v>0</v>
      </c>
      <c r="N241" s="208">
        <v>1</v>
      </c>
      <c r="O241" s="208">
        <v>0</v>
      </c>
      <c r="P241" s="208">
        <v>1</v>
      </c>
      <c r="Q241" s="208">
        <v>0</v>
      </c>
      <c r="R241" s="208">
        <v>1</v>
      </c>
      <c r="S241" s="208">
        <v>0</v>
      </c>
      <c r="T241" s="208">
        <v>1</v>
      </c>
      <c r="U241" s="280" t="s">
        <v>1965</v>
      </c>
    </row>
    <row r="242" spans="1:21" x14ac:dyDescent="0.25">
      <c r="A242" s="211" t="s">
        <v>1978</v>
      </c>
      <c r="B242" s="209" t="s">
        <v>1979</v>
      </c>
      <c r="C242" s="209" t="s">
        <v>1980</v>
      </c>
      <c r="D242" s="209" t="s">
        <v>556</v>
      </c>
      <c r="E242" s="209" t="s">
        <v>1914</v>
      </c>
      <c r="F242" s="208">
        <v>7.0020000000000013E-3</v>
      </c>
      <c r="G242" s="208">
        <v>3.0680000000000001</v>
      </c>
      <c r="H242" s="209" t="s">
        <v>1916</v>
      </c>
      <c r="I242" s="209" t="s">
        <v>182</v>
      </c>
      <c r="J242" s="209" t="s">
        <v>1924</v>
      </c>
      <c r="K242" s="212" t="s">
        <v>2798</v>
      </c>
      <c r="L242" s="209"/>
      <c r="M242" s="208">
        <v>0</v>
      </c>
      <c r="N242" s="208">
        <v>1</v>
      </c>
      <c r="O242" s="208">
        <v>0</v>
      </c>
      <c r="P242" s="208">
        <v>1</v>
      </c>
      <c r="Q242" s="208">
        <v>0</v>
      </c>
      <c r="R242" s="208">
        <v>1</v>
      </c>
      <c r="S242" s="208">
        <v>0</v>
      </c>
      <c r="T242" s="208">
        <v>1</v>
      </c>
      <c r="U242" s="280" t="s">
        <v>1981</v>
      </c>
    </row>
    <row r="243" spans="1:21" x14ac:dyDescent="0.25">
      <c r="A243" s="211" t="s">
        <v>878</v>
      </c>
      <c r="B243" s="209" t="s">
        <v>1979</v>
      </c>
      <c r="C243" s="209" t="s">
        <v>1983</v>
      </c>
      <c r="D243" s="209" t="s">
        <v>556</v>
      </c>
      <c r="E243" s="209" t="s">
        <v>1914</v>
      </c>
      <c r="F243" s="208">
        <v>7.0020000000000013E-3</v>
      </c>
      <c r="G243" s="208">
        <v>3.0680000000000001</v>
      </c>
      <c r="H243" s="209" t="s">
        <v>1916</v>
      </c>
      <c r="I243" s="209" t="s">
        <v>182</v>
      </c>
      <c r="J243" s="209" t="s">
        <v>1924</v>
      </c>
      <c r="K243" s="212" t="s">
        <v>2798</v>
      </c>
      <c r="L243" s="209"/>
      <c r="M243" s="208">
        <v>0</v>
      </c>
      <c r="N243" s="208">
        <v>1</v>
      </c>
      <c r="O243" s="208">
        <v>0</v>
      </c>
      <c r="P243" s="208">
        <v>1</v>
      </c>
      <c r="Q243" s="208">
        <v>0</v>
      </c>
      <c r="R243" s="208">
        <v>1</v>
      </c>
      <c r="S243" s="208">
        <v>0</v>
      </c>
      <c r="T243" s="208">
        <v>1</v>
      </c>
      <c r="U243" s="280" t="s">
        <v>1981</v>
      </c>
    </row>
    <row r="244" spans="1:21" x14ac:dyDescent="0.25">
      <c r="A244" s="211" t="s">
        <v>882</v>
      </c>
      <c r="B244" s="209" t="s">
        <v>1979</v>
      </c>
      <c r="C244" s="209" t="s">
        <v>1985</v>
      </c>
      <c r="D244" s="209" t="s">
        <v>556</v>
      </c>
      <c r="E244" s="209" t="s">
        <v>1914</v>
      </c>
      <c r="F244" s="208">
        <v>7.0020000000000013E-3</v>
      </c>
      <c r="G244" s="208">
        <v>3.0680000000000001</v>
      </c>
      <c r="H244" s="209" t="s">
        <v>1916</v>
      </c>
      <c r="I244" s="209" t="s">
        <v>182</v>
      </c>
      <c r="J244" s="209" t="s">
        <v>1924</v>
      </c>
      <c r="K244" s="212" t="s">
        <v>2798</v>
      </c>
      <c r="L244" s="209"/>
      <c r="M244" s="208">
        <v>0</v>
      </c>
      <c r="N244" s="208">
        <v>1</v>
      </c>
      <c r="O244" s="208">
        <v>0</v>
      </c>
      <c r="P244" s="208">
        <v>1</v>
      </c>
      <c r="Q244" s="208">
        <v>0</v>
      </c>
      <c r="R244" s="208">
        <v>1</v>
      </c>
      <c r="S244" s="208">
        <v>0</v>
      </c>
      <c r="T244" s="208">
        <v>1</v>
      </c>
      <c r="U244" s="280" t="s">
        <v>1981</v>
      </c>
    </row>
    <row r="245" spans="1:21" x14ac:dyDescent="0.25">
      <c r="A245" s="211" t="s">
        <v>885</v>
      </c>
      <c r="B245" s="209" t="s">
        <v>1979</v>
      </c>
      <c r="C245" s="209" t="s">
        <v>1986</v>
      </c>
      <c r="D245" s="209" t="s">
        <v>556</v>
      </c>
      <c r="E245" s="209" t="s">
        <v>1914</v>
      </c>
      <c r="F245" s="208">
        <v>7.0020000000000013E-3</v>
      </c>
      <c r="G245" s="208">
        <v>3.0680000000000001</v>
      </c>
      <c r="H245" s="209" t="s">
        <v>1916</v>
      </c>
      <c r="I245" s="209" t="s">
        <v>182</v>
      </c>
      <c r="J245" s="209" t="s">
        <v>1924</v>
      </c>
      <c r="K245" s="212" t="s">
        <v>2798</v>
      </c>
      <c r="L245" s="209"/>
      <c r="M245" s="208">
        <v>0</v>
      </c>
      <c r="N245" s="208">
        <v>1</v>
      </c>
      <c r="O245" s="208">
        <v>0</v>
      </c>
      <c r="P245" s="208">
        <v>1</v>
      </c>
      <c r="Q245" s="208">
        <v>0</v>
      </c>
      <c r="R245" s="208">
        <v>1</v>
      </c>
      <c r="S245" s="208">
        <v>0</v>
      </c>
      <c r="T245" s="208">
        <v>1</v>
      </c>
      <c r="U245" s="280" t="s">
        <v>1981</v>
      </c>
    </row>
    <row r="246" spans="1:21" x14ac:dyDescent="0.25">
      <c r="A246" s="211" t="s">
        <v>887</v>
      </c>
      <c r="B246" s="209" t="s">
        <v>1979</v>
      </c>
      <c r="C246" s="209" t="s">
        <v>1987</v>
      </c>
      <c r="D246" s="209" t="s">
        <v>556</v>
      </c>
      <c r="E246" s="209" t="s">
        <v>1914</v>
      </c>
      <c r="F246" s="208">
        <v>7.0020000000000013E-3</v>
      </c>
      <c r="G246" s="208">
        <v>3.0680000000000001</v>
      </c>
      <c r="H246" s="209" t="s">
        <v>1916</v>
      </c>
      <c r="I246" s="209" t="s">
        <v>182</v>
      </c>
      <c r="J246" s="209" t="s">
        <v>1924</v>
      </c>
      <c r="K246" s="212" t="s">
        <v>2798</v>
      </c>
      <c r="L246" s="209"/>
      <c r="M246" s="208">
        <v>0</v>
      </c>
      <c r="N246" s="208">
        <v>1</v>
      </c>
      <c r="O246" s="208">
        <v>0</v>
      </c>
      <c r="P246" s="208">
        <v>1</v>
      </c>
      <c r="Q246" s="208">
        <v>0</v>
      </c>
      <c r="R246" s="208">
        <v>1</v>
      </c>
      <c r="S246" s="208">
        <v>0</v>
      </c>
      <c r="T246" s="208">
        <v>1</v>
      </c>
      <c r="U246" s="280" t="s">
        <v>1981</v>
      </c>
    </row>
    <row r="247" spans="1:21" x14ac:dyDescent="0.25">
      <c r="A247" s="211" t="s">
        <v>903</v>
      </c>
      <c r="B247" s="209" t="s">
        <v>1989</v>
      </c>
      <c r="C247" s="209" t="s">
        <v>1995</v>
      </c>
      <c r="D247" s="209" t="s">
        <v>556</v>
      </c>
      <c r="E247" s="209" t="s">
        <v>1914</v>
      </c>
      <c r="F247" s="208">
        <v>8.0000000000000004E-4</v>
      </c>
      <c r="G247" s="208">
        <v>3.34</v>
      </c>
      <c r="H247" s="209" t="s">
        <v>1916</v>
      </c>
      <c r="I247" s="209" t="s">
        <v>182</v>
      </c>
      <c r="J247" s="209" t="s">
        <v>1924</v>
      </c>
      <c r="K247" s="212" t="s">
        <v>2798</v>
      </c>
      <c r="L247" s="209"/>
      <c r="M247" s="208">
        <v>0</v>
      </c>
      <c r="N247" s="208">
        <v>1</v>
      </c>
      <c r="O247" s="208">
        <v>0</v>
      </c>
      <c r="P247" s="208">
        <v>1.4326647564469914</v>
      </c>
      <c r="Q247" s="208">
        <v>0</v>
      </c>
      <c r="R247" s="208">
        <v>0.69799999999999995</v>
      </c>
      <c r="S247" s="208">
        <v>0</v>
      </c>
      <c r="T247" s="208">
        <v>1</v>
      </c>
      <c r="U247" s="280" t="s">
        <v>1991</v>
      </c>
    </row>
    <row r="248" spans="1:21" x14ac:dyDescent="0.25">
      <c r="A248" s="211" t="s">
        <v>1992</v>
      </c>
      <c r="B248" s="209" t="s">
        <v>1989</v>
      </c>
      <c r="C248" s="209" t="s">
        <v>1993</v>
      </c>
      <c r="D248" s="209" t="s">
        <v>556</v>
      </c>
      <c r="E248" s="209" t="s">
        <v>1914</v>
      </c>
      <c r="F248" s="208">
        <v>8.0000000000000004E-4</v>
      </c>
      <c r="G248" s="208">
        <v>3.34</v>
      </c>
      <c r="H248" s="209" t="s">
        <v>1916</v>
      </c>
      <c r="I248" s="209" t="s">
        <v>182</v>
      </c>
      <c r="J248" s="209" t="s">
        <v>1924</v>
      </c>
      <c r="K248" s="212" t="s">
        <v>2798</v>
      </c>
      <c r="L248" s="209" t="s">
        <v>2786</v>
      </c>
      <c r="M248" s="208">
        <v>0</v>
      </c>
      <c r="N248" s="208">
        <v>1</v>
      </c>
      <c r="O248" s="208">
        <v>0</v>
      </c>
      <c r="P248" s="208">
        <v>1.4326647564469914</v>
      </c>
      <c r="Q248" s="208">
        <v>0</v>
      </c>
      <c r="R248" s="208">
        <v>0.69799999999999995</v>
      </c>
      <c r="S248" s="208">
        <v>0</v>
      </c>
      <c r="T248" s="208">
        <v>1</v>
      </c>
      <c r="U248" s="280" t="s">
        <v>1991</v>
      </c>
    </row>
    <row r="249" spans="1:21" x14ac:dyDescent="0.25">
      <c r="A249" s="211" t="s">
        <v>897</v>
      </c>
      <c r="B249" s="209" t="s">
        <v>1989</v>
      </c>
      <c r="C249" s="209" t="s">
        <v>1994</v>
      </c>
      <c r="D249" s="209" t="s">
        <v>556</v>
      </c>
      <c r="E249" s="209" t="s">
        <v>1914</v>
      </c>
      <c r="F249" s="208">
        <v>8.0000000000000004E-4</v>
      </c>
      <c r="G249" s="208">
        <v>3.34</v>
      </c>
      <c r="H249" s="209" t="s">
        <v>1916</v>
      </c>
      <c r="I249" s="209" t="s">
        <v>182</v>
      </c>
      <c r="J249" s="209" t="s">
        <v>1924</v>
      </c>
      <c r="K249" s="212" t="s">
        <v>2798</v>
      </c>
      <c r="L249" s="209" t="s">
        <v>2786</v>
      </c>
      <c r="M249" s="208">
        <v>0</v>
      </c>
      <c r="N249" s="208">
        <v>1</v>
      </c>
      <c r="O249" s="208">
        <v>0</v>
      </c>
      <c r="P249" s="208">
        <v>1.4326647564469914</v>
      </c>
      <c r="Q249" s="208">
        <v>0</v>
      </c>
      <c r="R249" s="208">
        <v>0.69799999999999995</v>
      </c>
      <c r="S249" s="208">
        <v>0</v>
      </c>
      <c r="T249" s="208">
        <v>1</v>
      </c>
      <c r="U249" s="280" t="s">
        <v>1991</v>
      </c>
    </row>
    <row r="250" spans="1:21" x14ac:dyDescent="0.25">
      <c r="A250" s="211" t="s">
        <v>2002</v>
      </c>
      <c r="B250" s="209" t="s">
        <v>2003</v>
      </c>
      <c r="C250" s="209" t="s">
        <v>2004</v>
      </c>
      <c r="D250" s="209" t="s">
        <v>556</v>
      </c>
      <c r="E250" s="209" t="s">
        <v>1914</v>
      </c>
      <c r="F250" s="208">
        <v>2.4500000000000001E-2</v>
      </c>
      <c r="G250" s="208">
        <v>2.72</v>
      </c>
      <c r="H250" s="209" t="s">
        <v>1916</v>
      </c>
      <c r="I250" s="209" t="s">
        <v>182</v>
      </c>
      <c r="J250" s="209" t="s">
        <v>1924</v>
      </c>
      <c r="K250" s="212" t="s">
        <v>2798</v>
      </c>
      <c r="L250" s="209"/>
      <c r="M250" s="208">
        <v>0</v>
      </c>
      <c r="N250" s="208">
        <v>1</v>
      </c>
      <c r="O250" s="208">
        <v>0</v>
      </c>
      <c r="P250" s="208">
        <v>1.1719999999999999</v>
      </c>
      <c r="Q250" s="208">
        <v>0</v>
      </c>
      <c r="R250" s="208">
        <v>0.85299999999999998</v>
      </c>
      <c r="S250" s="208">
        <v>0</v>
      </c>
      <c r="T250" s="208">
        <v>1</v>
      </c>
      <c r="U250" s="280" t="s">
        <v>2005</v>
      </c>
    </row>
    <row r="251" spans="1:21" x14ac:dyDescent="0.25">
      <c r="A251" s="211" t="s">
        <v>2006</v>
      </c>
      <c r="B251" s="209" t="s">
        <v>2003</v>
      </c>
      <c r="C251" s="209" t="s">
        <v>2007</v>
      </c>
      <c r="D251" s="209" t="s">
        <v>556</v>
      </c>
      <c r="E251" s="209" t="s">
        <v>1914</v>
      </c>
      <c r="F251" s="208">
        <v>2.4500000000000001E-2</v>
      </c>
      <c r="G251" s="208">
        <v>2.72</v>
      </c>
      <c r="H251" s="209" t="s">
        <v>1916</v>
      </c>
      <c r="I251" s="209" t="s">
        <v>182</v>
      </c>
      <c r="J251" s="209" t="s">
        <v>1924</v>
      </c>
      <c r="K251" s="212" t="s">
        <v>2798</v>
      </c>
      <c r="L251" s="209"/>
      <c r="M251" s="208">
        <v>0</v>
      </c>
      <c r="N251" s="208">
        <v>1</v>
      </c>
      <c r="O251" s="208">
        <v>0</v>
      </c>
      <c r="P251" s="208">
        <v>1.1719999999999999</v>
      </c>
      <c r="Q251" s="208">
        <v>0</v>
      </c>
      <c r="R251" s="208">
        <v>0.85299999999999998</v>
      </c>
      <c r="S251" s="208">
        <v>0</v>
      </c>
      <c r="T251" s="208">
        <v>1</v>
      </c>
      <c r="U251" s="280" t="s">
        <v>2005</v>
      </c>
    </row>
    <row r="252" spans="1:21" x14ac:dyDescent="0.25">
      <c r="A252" s="211" t="s">
        <v>1962</v>
      </c>
      <c r="B252" s="209" t="s">
        <v>1963</v>
      </c>
      <c r="C252" s="209" t="s">
        <v>1964</v>
      </c>
      <c r="D252" s="209" t="s">
        <v>556</v>
      </c>
      <c r="E252" s="209" t="s">
        <v>1914</v>
      </c>
      <c r="F252" s="208">
        <v>2.6858823529411768E-3</v>
      </c>
      <c r="G252" s="208">
        <v>3.3237235294117644</v>
      </c>
      <c r="H252" s="209" t="s">
        <v>1916</v>
      </c>
      <c r="I252" s="209" t="s">
        <v>182</v>
      </c>
      <c r="J252" s="209" t="s">
        <v>1924</v>
      </c>
      <c r="K252" s="212" t="s">
        <v>2798</v>
      </c>
      <c r="L252" s="209"/>
      <c r="M252" s="208">
        <v>0</v>
      </c>
      <c r="N252" s="208">
        <v>1</v>
      </c>
      <c r="O252" s="208">
        <v>0</v>
      </c>
      <c r="P252" s="208">
        <v>1</v>
      </c>
      <c r="Q252" s="208">
        <v>0</v>
      </c>
      <c r="R252" s="208">
        <v>1</v>
      </c>
      <c r="S252" s="208">
        <v>0</v>
      </c>
      <c r="T252" s="208">
        <v>1</v>
      </c>
      <c r="U252" s="280" t="s">
        <v>1965</v>
      </c>
    </row>
    <row r="253" spans="1:21" x14ac:dyDescent="0.25">
      <c r="A253" s="211" t="s">
        <v>853</v>
      </c>
      <c r="B253" s="209" t="s">
        <v>1963</v>
      </c>
      <c r="C253" s="209" t="s">
        <v>1966</v>
      </c>
      <c r="D253" s="209" t="s">
        <v>556</v>
      </c>
      <c r="E253" s="209" t="s">
        <v>1914</v>
      </c>
      <c r="F253" s="208">
        <v>2.6858823529411768E-3</v>
      </c>
      <c r="G253" s="208">
        <v>3.3237235294117644</v>
      </c>
      <c r="H253" s="209" t="s">
        <v>1916</v>
      </c>
      <c r="I253" s="209" t="s">
        <v>182</v>
      </c>
      <c r="J253" s="209" t="s">
        <v>1924</v>
      </c>
      <c r="K253" s="212" t="s">
        <v>2798</v>
      </c>
      <c r="L253" s="209"/>
      <c r="M253" s="208">
        <v>0</v>
      </c>
      <c r="N253" s="208">
        <v>1</v>
      </c>
      <c r="O253" s="208">
        <v>0</v>
      </c>
      <c r="P253" s="208">
        <v>1</v>
      </c>
      <c r="Q253" s="208">
        <v>0</v>
      </c>
      <c r="R253" s="208">
        <v>1</v>
      </c>
      <c r="S253" s="208">
        <v>0</v>
      </c>
      <c r="T253" s="208">
        <v>1</v>
      </c>
      <c r="U253" s="280" t="s">
        <v>1965</v>
      </c>
    </row>
    <row r="254" spans="1:21" x14ac:dyDescent="0.25">
      <c r="A254" s="211" t="s">
        <v>861</v>
      </c>
      <c r="B254" s="209" t="s">
        <v>1963</v>
      </c>
      <c r="C254" s="209" t="s">
        <v>1967</v>
      </c>
      <c r="D254" s="209" t="s">
        <v>556</v>
      </c>
      <c r="E254" s="209" t="s">
        <v>1914</v>
      </c>
      <c r="F254" s="208">
        <v>2.6858823529411768E-3</v>
      </c>
      <c r="G254" s="208">
        <v>3.3237235294117644</v>
      </c>
      <c r="H254" s="209" t="s">
        <v>1916</v>
      </c>
      <c r="I254" s="209" t="s">
        <v>182</v>
      </c>
      <c r="J254" s="209" t="s">
        <v>1924</v>
      </c>
      <c r="K254" s="212" t="s">
        <v>2798</v>
      </c>
      <c r="L254" s="209"/>
      <c r="M254" s="208">
        <v>0</v>
      </c>
      <c r="N254" s="208">
        <v>1</v>
      </c>
      <c r="O254" s="208">
        <v>0</v>
      </c>
      <c r="P254" s="208">
        <v>1</v>
      </c>
      <c r="Q254" s="208">
        <v>0</v>
      </c>
      <c r="R254" s="208">
        <v>1</v>
      </c>
      <c r="S254" s="208">
        <v>0</v>
      </c>
      <c r="T254" s="208">
        <v>1</v>
      </c>
      <c r="U254" s="280" t="s">
        <v>1965</v>
      </c>
    </row>
    <row r="255" spans="1:21" x14ac:dyDescent="0.25">
      <c r="A255" s="211" t="s">
        <v>1968</v>
      </c>
      <c r="B255" s="209" t="s">
        <v>1963</v>
      </c>
      <c r="C255" s="209" t="s">
        <v>1911</v>
      </c>
      <c r="D255" s="209" t="s">
        <v>556</v>
      </c>
      <c r="E255" s="209" t="s">
        <v>1914</v>
      </c>
      <c r="F255" s="208">
        <v>2.6858823529411768E-3</v>
      </c>
      <c r="G255" s="208">
        <v>3.3237235294117644</v>
      </c>
      <c r="H255" s="209" t="s">
        <v>1916</v>
      </c>
      <c r="I255" s="209" t="s">
        <v>182</v>
      </c>
      <c r="J255" s="209" t="s">
        <v>1924</v>
      </c>
      <c r="K255" s="212" t="s">
        <v>2798</v>
      </c>
      <c r="L255" s="209"/>
      <c r="M255" s="208">
        <v>0</v>
      </c>
      <c r="N255" s="208">
        <v>1</v>
      </c>
      <c r="O255" s="208">
        <v>0</v>
      </c>
      <c r="P255" s="208">
        <v>1</v>
      </c>
      <c r="Q255" s="208">
        <v>0</v>
      </c>
      <c r="R255" s="208">
        <v>1</v>
      </c>
      <c r="S255" s="208">
        <v>0</v>
      </c>
      <c r="T255" s="208">
        <v>1</v>
      </c>
      <c r="U255" s="280" t="s">
        <v>1965</v>
      </c>
    </row>
    <row r="256" spans="1:21" x14ac:dyDescent="0.25">
      <c r="A256" s="211" t="s">
        <v>857</v>
      </c>
      <c r="B256" s="209" t="s">
        <v>1963</v>
      </c>
      <c r="C256" s="209" t="s">
        <v>1969</v>
      </c>
      <c r="D256" s="209" t="s">
        <v>556</v>
      </c>
      <c r="E256" s="209" t="s">
        <v>1914</v>
      </c>
      <c r="F256" s="208">
        <v>2.6858823529411768E-3</v>
      </c>
      <c r="G256" s="208">
        <v>3.3237235294117644</v>
      </c>
      <c r="H256" s="209" t="s">
        <v>1916</v>
      </c>
      <c r="I256" s="209" t="s">
        <v>182</v>
      </c>
      <c r="J256" s="209" t="s">
        <v>1924</v>
      </c>
      <c r="K256" s="212" t="s">
        <v>2798</v>
      </c>
      <c r="L256" s="209"/>
      <c r="M256" s="208">
        <v>0</v>
      </c>
      <c r="N256" s="208">
        <v>1</v>
      </c>
      <c r="O256" s="208">
        <v>0</v>
      </c>
      <c r="P256" s="208">
        <v>1</v>
      </c>
      <c r="Q256" s="208">
        <v>0</v>
      </c>
      <c r="R256" s="208">
        <v>1</v>
      </c>
      <c r="S256" s="208">
        <v>0</v>
      </c>
      <c r="T256" s="208">
        <v>1</v>
      </c>
      <c r="U256" s="280" t="s">
        <v>1965</v>
      </c>
    </row>
    <row r="257" spans="1:21" x14ac:dyDescent="0.25">
      <c r="A257" s="211" t="s">
        <v>863</v>
      </c>
      <c r="B257" s="209" t="s">
        <v>1963</v>
      </c>
      <c r="C257" s="209" t="s">
        <v>1970</v>
      </c>
      <c r="D257" s="209" t="s">
        <v>556</v>
      </c>
      <c r="E257" s="209" t="s">
        <v>1914</v>
      </c>
      <c r="F257" s="208">
        <v>2.6858823529411768E-3</v>
      </c>
      <c r="G257" s="208">
        <v>3.3237235294117644</v>
      </c>
      <c r="H257" s="209" t="s">
        <v>1916</v>
      </c>
      <c r="I257" s="209" t="s">
        <v>182</v>
      </c>
      <c r="J257" s="209" t="s">
        <v>1924</v>
      </c>
      <c r="K257" s="212" t="s">
        <v>2798</v>
      </c>
      <c r="L257" s="209"/>
      <c r="M257" s="208">
        <v>0</v>
      </c>
      <c r="N257" s="208">
        <v>1</v>
      </c>
      <c r="O257" s="208">
        <v>0</v>
      </c>
      <c r="P257" s="208">
        <v>1</v>
      </c>
      <c r="Q257" s="208">
        <v>0</v>
      </c>
      <c r="R257" s="208">
        <v>1</v>
      </c>
      <c r="S257" s="208">
        <v>0</v>
      </c>
      <c r="T257" s="208">
        <v>1</v>
      </c>
      <c r="U257" s="280" t="s">
        <v>1965</v>
      </c>
    </row>
    <row r="258" spans="1:21" x14ac:dyDescent="0.25">
      <c r="A258" s="211" t="s">
        <v>1971</v>
      </c>
      <c r="B258" s="209" t="s">
        <v>1963</v>
      </c>
      <c r="C258" s="209" t="s">
        <v>1972</v>
      </c>
      <c r="D258" s="209" t="s">
        <v>556</v>
      </c>
      <c r="E258" s="209" t="s">
        <v>1914</v>
      </c>
      <c r="F258" s="208">
        <v>2.6858823529411768E-3</v>
      </c>
      <c r="G258" s="208">
        <v>3.3237235294117644</v>
      </c>
      <c r="H258" s="209" t="s">
        <v>1916</v>
      </c>
      <c r="I258" s="209" t="s">
        <v>182</v>
      </c>
      <c r="J258" s="209" t="s">
        <v>1924</v>
      </c>
      <c r="K258" s="212" t="s">
        <v>2798</v>
      </c>
      <c r="L258" s="209"/>
      <c r="M258" s="208">
        <v>0</v>
      </c>
      <c r="N258" s="208">
        <v>1</v>
      </c>
      <c r="O258" s="208">
        <v>0</v>
      </c>
      <c r="P258" s="208">
        <v>1</v>
      </c>
      <c r="Q258" s="208">
        <v>0</v>
      </c>
      <c r="R258" s="208">
        <v>1</v>
      </c>
      <c r="S258" s="208">
        <v>0</v>
      </c>
      <c r="T258" s="208">
        <v>1</v>
      </c>
      <c r="U258" s="280" t="s">
        <v>1965</v>
      </c>
    </row>
    <row r="259" spans="1:21" x14ac:dyDescent="0.25">
      <c r="A259" s="211" t="s">
        <v>1973</v>
      </c>
      <c r="B259" s="209" t="s">
        <v>1963</v>
      </c>
      <c r="C259" s="209" t="s">
        <v>1911</v>
      </c>
      <c r="D259" s="209" t="s">
        <v>556</v>
      </c>
      <c r="E259" s="209" t="s">
        <v>1914</v>
      </c>
      <c r="F259" s="208">
        <v>2.6858823529411768E-3</v>
      </c>
      <c r="G259" s="208">
        <v>3.3237235294117644</v>
      </c>
      <c r="H259" s="209" t="s">
        <v>1916</v>
      </c>
      <c r="I259" s="209" t="s">
        <v>182</v>
      </c>
      <c r="J259" s="209" t="s">
        <v>1924</v>
      </c>
      <c r="K259" s="212" t="s">
        <v>2798</v>
      </c>
      <c r="L259" s="209"/>
      <c r="M259" s="208">
        <v>0</v>
      </c>
      <c r="N259" s="208">
        <v>1</v>
      </c>
      <c r="O259" s="208">
        <v>0</v>
      </c>
      <c r="P259" s="208">
        <v>1</v>
      </c>
      <c r="Q259" s="208">
        <v>0</v>
      </c>
      <c r="R259" s="208">
        <v>1</v>
      </c>
      <c r="S259" s="208">
        <v>0</v>
      </c>
      <c r="T259" s="208">
        <v>1</v>
      </c>
      <c r="U259" s="280" t="s">
        <v>1965</v>
      </c>
    </row>
    <row r="260" spans="1:21" x14ac:dyDescent="0.25">
      <c r="A260" s="211" t="s">
        <v>1974</v>
      </c>
      <c r="B260" s="209" t="s">
        <v>1963</v>
      </c>
      <c r="C260" s="209" t="s">
        <v>1911</v>
      </c>
      <c r="D260" s="209" t="s">
        <v>556</v>
      </c>
      <c r="E260" s="209" t="s">
        <v>1914</v>
      </c>
      <c r="F260" s="208">
        <v>2.6858823529411768E-3</v>
      </c>
      <c r="G260" s="208">
        <v>3.3237235294117644</v>
      </c>
      <c r="H260" s="209" t="s">
        <v>1916</v>
      </c>
      <c r="I260" s="209" t="s">
        <v>182</v>
      </c>
      <c r="J260" s="209" t="s">
        <v>1924</v>
      </c>
      <c r="K260" s="212" t="s">
        <v>2798</v>
      </c>
      <c r="L260" s="209"/>
      <c r="M260" s="208">
        <v>0</v>
      </c>
      <c r="N260" s="208">
        <v>1</v>
      </c>
      <c r="O260" s="208">
        <v>0</v>
      </c>
      <c r="P260" s="208">
        <v>1</v>
      </c>
      <c r="Q260" s="208">
        <v>0</v>
      </c>
      <c r="R260" s="208">
        <v>1</v>
      </c>
      <c r="S260" s="208">
        <v>0</v>
      </c>
      <c r="T260" s="208">
        <v>1</v>
      </c>
      <c r="U260" s="280" t="s">
        <v>1965</v>
      </c>
    </row>
    <row r="261" spans="1:21" x14ac:dyDescent="0.25">
      <c r="A261" s="211" t="s">
        <v>867</v>
      </c>
      <c r="B261" s="209" t="s">
        <v>1963</v>
      </c>
      <c r="C261" s="209" t="s">
        <v>1975</v>
      </c>
      <c r="D261" s="209" t="s">
        <v>556</v>
      </c>
      <c r="E261" s="209" t="s">
        <v>1914</v>
      </c>
      <c r="F261" s="208">
        <v>2.6858823529411768E-3</v>
      </c>
      <c r="G261" s="208">
        <v>3.3237235294117644</v>
      </c>
      <c r="H261" s="209" t="s">
        <v>1916</v>
      </c>
      <c r="I261" s="209" t="s">
        <v>182</v>
      </c>
      <c r="J261" s="209" t="s">
        <v>1924</v>
      </c>
      <c r="K261" s="212" t="s">
        <v>2798</v>
      </c>
      <c r="L261" s="209"/>
      <c r="M261" s="208">
        <v>0</v>
      </c>
      <c r="N261" s="208">
        <v>1</v>
      </c>
      <c r="O261" s="208">
        <v>0</v>
      </c>
      <c r="P261" s="208">
        <v>1</v>
      </c>
      <c r="Q261" s="208">
        <v>0</v>
      </c>
      <c r="R261" s="208">
        <v>1</v>
      </c>
      <c r="S261" s="208">
        <v>0</v>
      </c>
      <c r="T261" s="208">
        <v>1</v>
      </c>
      <c r="U261" s="280" t="s">
        <v>1965</v>
      </c>
    </row>
    <row r="262" spans="1:21" x14ac:dyDescent="0.25">
      <c r="A262" s="211" t="s">
        <v>846</v>
      </c>
      <c r="B262" s="209" t="s">
        <v>1959</v>
      </c>
      <c r="C262" s="209" t="s">
        <v>1960</v>
      </c>
      <c r="D262" s="209" t="s">
        <v>556</v>
      </c>
      <c r="E262" s="209" t="s">
        <v>1914</v>
      </c>
      <c r="F262" s="208">
        <v>1.2999999999999999E-2</v>
      </c>
      <c r="G262" s="208">
        <v>2.67</v>
      </c>
      <c r="H262" s="209" t="s">
        <v>1916</v>
      </c>
      <c r="I262" s="209" t="s">
        <v>182</v>
      </c>
      <c r="J262" s="209" t="s">
        <v>1924</v>
      </c>
      <c r="K262" s="212" t="s">
        <v>2798</v>
      </c>
      <c r="L262" s="209"/>
      <c r="M262" s="208">
        <v>0</v>
      </c>
      <c r="N262" s="208">
        <v>1</v>
      </c>
      <c r="O262" s="208">
        <v>0</v>
      </c>
      <c r="P262" s="208">
        <v>1.0384215991692627</v>
      </c>
      <c r="Q262" s="208">
        <v>0</v>
      </c>
      <c r="R262" s="208">
        <v>0.96299999999999997</v>
      </c>
      <c r="S262" s="208">
        <v>0</v>
      </c>
      <c r="T262" s="208">
        <v>1</v>
      </c>
      <c r="U262" s="280" t="s">
        <v>1961</v>
      </c>
    </row>
    <row r="263" spans="1:21" x14ac:dyDescent="0.25">
      <c r="A263" s="211" t="s">
        <v>2000</v>
      </c>
      <c r="B263" s="209" t="s">
        <v>1989</v>
      </c>
      <c r="C263" s="209" t="s">
        <v>2001</v>
      </c>
      <c r="D263" s="209" t="s">
        <v>556</v>
      </c>
      <c r="E263" s="209" t="s">
        <v>1914</v>
      </c>
      <c r="F263" s="208">
        <v>8.0000000000000004E-4</v>
      </c>
      <c r="G263" s="208">
        <v>3.34</v>
      </c>
      <c r="H263" s="209" t="s">
        <v>1916</v>
      </c>
      <c r="I263" s="209" t="s">
        <v>182</v>
      </c>
      <c r="J263" s="209" t="s">
        <v>1924</v>
      </c>
      <c r="K263" s="212" t="s">
        <v>2798</v>
      </c>
      <c r="L263" s="209"/>
      <c r="M263" s="208">
        <v>0</v>
      </c>
      <c r="N263" s="208">
        <v>1</v>
      </c>
      <c r="O263" s="208">
        <v>0</v>
      </c>
      <c r="P263" s="208">
        <v>1.4326647564469914</v>
      </c>
      <c r="Q263" s="208">
        <v>0</v>
      </c>
      <c r="R263" s="208">
        <v>0.69799999999999995</v>
      </c>
      <c r="S263" s="208">
        <v>0</v>
      </c>
      <c r="T263" s="208">
        <v>1</v>
      </c>
      <c r="U263" s="280" t="s">
        <v>1991</v>
      </c>
    </row>
    <row r="264" spans="1:21" x14ac:dyDescent="0.25">
      <c r="A264" s="211" t="s">
        <v>1996</v>
      </c>
      <c r="B264" s="209" t="s">
        <v>1989</v>
      </c>
      <c r="C264" s="209" t="s">
        <v>1911</v>
      </c>
      <c r="D264" s="209" t="s">
        <v>556</v>
      </c>
      <c r="E264" s="209" t="s">
        <v>1914</v>
      </c>
      <c r="F264" s="208">
        <v>8.0000000000000004E-4</v>
      </c>
      <c r="G264" s="208">
        <v>3.34</v>
      </c>
      <c r="H264" s="209" t="s">
        <v>1916</v>
      </c>
      <c r="I264" s="209" t="s">
        <v>182</v>
      </c>
      <c r="J264" s="209" t="s">
        <v>1924</v>
      </c>
      <c r="K264" s="212" t="s">
        <v>2798</v>
      </c>
      <c r="L264" s="209"/>
      <c r="M264" s="208">
        <v>0</v>
      </c>
      <c r="N264" s="208">
        <v>1</v>
      </c>
      <c r="O264" s="208">
        <v>0</v>
      </c>
      <c r="P264" s="208">
        <v>1.4326647564469914</v>
      </c>
      <c r="Q264" s="208">
        <v>0</v>
      </c>
      <c r="R264" s="208">
        <v>0.69799999999999995</v>
      </c>
      <c r="S264" s="208">
        <v>0</v>
      </c>
      <c r="T264" s="208">
        <v>1</v>
      </c>
      <c r="U264" s="280" t="s">
        <v>1991</v>
      </c>
    </row>
    <row r="265" spans="1:21" x14ac:dyDescent="0.25">
      <c r="A265" s="211" t="s">
        <v>850</v>
      </c>
      <c r="B265" s="209" t="s">
        <v>2003</v>
      </c>
      <c r="C265" s="209" t="s">
        <v>2008</v>
      </c>
      <c r="D265" s="209" t="s">
        <v>556</v>
      </c>
      <c r="E265" s="209" t="s">
        <v>1914</v>
      </c>
      <c r="F265" s="208">
        <v>2.4500000000000001E-2</v>
      </c>
      <c r="G265" s="208">
        <v>2.72</v>
      </c>
      <c r="H265" s="209" t="s">
        <v>1916</v>
      </c>
      <c r="I265" s="209" t="s">
        <v>182</v>
      </c>
      <c r="J265" s="209" t="s">
        <v>1924</v>
      </c>
      <c r="K265" s="212" t="s">
        <v>2798</v>
      </c>
      <c r="L265" s="209"/>
      <c r="M265" s="208">
        <v>0</v>
      </c>
      <c r="N265" s="208">
        <v>1</v>
      </c>
      <c r="O265" s="208">
        <v>0</v>
      </c>
      <c r="P265" s="208">
        <v>1.1719999999999999</v>
      </c>
      <c r="Q265" s="208">
        <v>0</v>
      </c>
      <c r="R265" s="208">
        <v>0.85299999999999998</v>
      </c>
      <c r="S265" s="208">
        <v>0</v>
      </c>
      <c r="T265" s="208">
        <v>1</v>
      </c>
      <c r="U265" s="280" t="s">
        <v>2005</v>
      </c>
    </row>
    <row r="266" spans="1:21" x14ac:dyDescent="0.25">
      <c r="A266" s="211" t="s">
        <v>1988</v>
      </c>
      <c r="B266" s="209" t="s">
        <v>1979</v>
      </c>
      <c r="C266" s="209" t="s">
        <v>1911</v>
      </c>
      <c r="D266" s="209" t="s">
        <v>556</v>
      </c>
      <c r="E266" s="209" t="s">
        <v>1914</v>
      </c>
      <c r="F266" s="208">
        <v>7.0020000000000013E-3</v>
      </c>
      <c r="G266" s="208">
        <v>3.0680000000000001</v>
      </c>
      <c r="H266" s="209" t="s">
        <v>1916</v>
      </c>
      <c r="I266" s="209" t="s">
        <v>182</v>
      </c>
      <c r="J266" s="209" t="s">
        <v>1924</v>
      </c>
      <c r="K266" s="212" t="s">
        <v>2798</v>
      </c>
      <c r="L266" s="209"/>
      <c r="M266" s="208">
        <v>0</v>
      </c>
      <c r="N266" s="208">
        <v>1</v>
      </c>
      <c r="O266" s="208">
        <v>0</v>
      </c>
      <c r="P266" s="208">
        <v>1</v>
      </c>
      <c r="Q266" s="208">
        <v>0</v>
      </c>
      <c r="R266" s="208">
        <v>1</v>
      </c>
      <c r="S266" s="208">
        <v>0</v>
      </c>
      <c r="T266" s="208">
        <v>1</v>
      </c>
      <c r="U266" s="280" t="s">
        <v>1981</v>
      </c>
    </row>
    <row r="267" spans="1:21" x14ac:dyDescent="0.25">
      <c r="A267" s="211" t="s">
        <v>793</v>
      </c>
      <c r="B267" s="209" t="s">
        <v>1921</v>
      </c>
      <c r="C267" s="209" t="s">
        <v>1926</v>
      </c>
      <c r="D267" s="209" t="s">
        <v>444</v>
      </c>
      <c r="E267" s="209" t="s">
        <v>1919</v>
      </c>
      <c r="F267" s="208">
        <v>1.2699999999999999E-2</v>
      </c>
      <c r="G267" s="208">
        <v>3</v>
      </c>
      <c r="H267" s="209" t="s">
        <v>1916</v>
      </c>
      <c r="I267" s="209" t="s">
        <v>182</v>
      </c>
      <c r="J267" s="209" t="s">
        <v>1917</v>
      </c>
      <c r="K267" s="212" t="s">
        <v>2798</v>
      </c>
      <c r="L267" s="209"/>
      <c r="M267" s="208">
        <v>0</v>
      </c>
      <c r="N267" s="208">
        <v>1.2285012285012287</v>
      </c>
      <c r="O267" s="208">
        <v>0</v>
      </c>
      <c r="P267" s="208">
        <v>1.2350000000000001</v>
      </c>
      <c r="Q267" s="208">
        <v>0</v>
      </c>
      <c r="R267" s="208">
        <v>0.80971659919028338</v>
      </c>
      <c r="S267" s="208">
        <v>0</v>
      </c>
      <c r="T267" s="208">
        <v>0.81399999999999995</v>
      </c>
      <c r="U267" s="280" t="s">
        <v>1925</v>
      </c>
    </row>
    <row r="268" spans="1:21" x14ac:dyDescent="0.25">
      <c r="A268" s="211" t="s">
        <v>815</v>
      </c>
      <c r="B268" s="209" t="s">
        <v>1921</v>
      </c>
      <c r="C268" s="209" t="s">
        <v>1934</v>
      </c>
      <c r="D268" s="209" t="s">
        <v>444</v>
      </c>
      <c r="E268" s="209" t="s">
        <v>1919</v>
      </c>
      <c r="F268" s="208">
        <v>1.1981666666666667E-2</v>
      </c>
      <c r="G268" s="208">
        <v>3.072954444444445</v>
      </c>
      <c r="H268" s="209" t="s">
        <v>1923</v>
      </c>
      <c r="I268" s="209" t="s">
        <v>182</v>
      </c>
      <c r="J268" s="209" t="s">
        <v>1924</v>
      </c>
      <c r="K268" s="212" t="s">
        <v>2798</v>
      </c>
      <c r="L268" s="209"/>
      <c r="M268" s="208">
        <v>0</v>
      </c>
      <c r="N268" s="208">
        <v>1.2285012285012287</v>
      </c>
      <c r="O268" s="208">
        <v>0</v>
      </c>
      <c r="P268" s="208">
        <v>1.2350000000000001</v>
      </c>
      <c r="Q268" s="208">
        <v>0</v>
      </c>
      <c r="R268" s="208">
        <v>0.80971659919028338</v>
      </c>
      <c r="S268" s="208">
        <v>0</v>
      </c>
      <c r="T268" s="208">
        <v>0.81399999999999995</v>
      </c>
      <c r="U268" s="280" t="s">
        <v>1925</v>
      </c>
    </row>
    <row r="269" spans="1:21" x14ac:dyDescent="0.25">
      <c r="A269" s="211" t="s">
        <v>818</v>
      </c>
      <c r="B269" s="209" t="s">
        <v>1944</v>
      </c>
      <c r="C269" s="209" t="s">
        <v>1947</v>
      </c>
      <c r="D269" s="209" t="s">
        <v>444</v>
      </c>
      <c r="E269" s="209" t="s">
        <v>1919</v>
      </c>
      <c r="F269" s="208">
        <v>4.0942857142857144E-3</v>
      </c>
      <c r="G269" s="208">
        <v>3.1261428571428569</v>
      </c>
      <c r="H269" s="209" t="s">
        <v>1916</v>
      </c>
      <c r="I269" s="209" t="s">
        <v>182</v>
      </c>
      <c r="J269" s="209" t="s">
        <v>1924</v>
      </c>
      <c r="K269" s="212" t="s">
        <v>2798</v>
      </c>
      <c r="L269" s="209"/>
      <c r="M269" s="208">
        <v>0</v>
      </c>
      <c r="N269" s="208">
        <v>1.2547051442910915</v>
      </c>
      <c r="O269" s="208">
        <v>0</v>
      </c>
      <c r="P269" s="208">
        <v>1.3793103448275863</v>
      </c>
      <c r="Q269" s="208">
        <v>0</v>
      </c>
      <c r="R269" s="208">
        <v>0.72499999999999998</v>
      </c>
      <c r="S269" s="208">
        <v>0</v>
      </c>
      <c r="T269" s="208">
        <v>0.79700000000000004</v>
      </c>
      <c r="U269" s="280" t="s">
        <v>1946</v>
      </c>
    </row>
    <row r="270" spans="1:21" x14ac:dyDescent="0.25">
      <c r="A270" s="211" t="s">
        <v>836</v>
      </c>
      <c r="B270" s="209" t="s">
        <v>1911</v>
      </c>
      <c r="C270" s="209" t="s">
        <v>1915</v>
      </c>
      <c r="D270" s="209" t="s">
        <v>444</v>
      </c>
      <c r="E270" s="209" t="s">
        <v>1914</v>
      </c>
      <c r="F270" s="208">
        <v>3.4599999999999999E-2</v>
      </c>
      <c r="G270" s="208">
        <v>2.7080000000000002</v>
      </c>
      <c r="H270" s="209" t="s">
        <v>1916</v>
      </c>
      <c r="I270" s="209" t="s">
        <v>182</v>
      </c>
      <c r="J270" s="209" t="s">
        <v>1911</v>
      </c>
      <c r="K270" s="212" t="s">
        <v>2798</v>
      </c>
      <c r="L270" s="209" t="s">
        <v>2787</v>
      </c>
      <c r="M270" s="208">
        <v>0</v>
      </c>
      <c r="N270" s="208">
        <v>1.0256410256410258</v>
      </c>
      <c r="O270" s="208">
        <v>0</v>
      </c>
      <c r="P270" s="208">
        <v>1.044932079414838</v>
      </c>
      <c r="Q270" s="208">
        <v>0</v>
      </c>
      <c r="R270" s="208">
        <v>0.95699999999999996</v>
      </c>
      <c r="S270" s="208">
        <v>0</v>
      </c>
      <c r="T270" s="208">
        <v>0.97499999999999998</v>
      </c>
      <c r="U270" s="280" t="s">
        <v>1917</v>
      </c>
    </row>
    <row r="271" spans="1:21" x14ac:dyDescent="0.25">
      <c r="A271" s="211" t="s">
        <v>1075</v>
      </c>
      <c r="B271" s="209" t="s">
        <v>2692</v>
      </c>
      <c r="C271" s="209" t="s">
        <v>2693</v>
      </c>
      <c r="D271" s="209" t="s">
        <v>461</v>
      </c>
      <c r="E271" s="209" t="s">
        <v>1914</v>
      </c>
      <c r="F271" s="208">
        <v>3.8999999999999998E-3</v>
      </c>
      <c r="G271" s="208">
        <v>3</v>
      </c>
      <c r="H271" s="209" t="s">
        <v>1916</v>
      </c>
      <c r="I271" s="209" t="s">
        <v>182</v>
      </c>
      <c r="J271" s="209" t="s">
        <v>1924</v>
      </c>
      <c r="K271" s="212" t="s">
        <v>2798</v>
      </c>
      <c r="L271" s="209"/>
      <c r="M271" s="208">
        <v>0</v>
      </c>
      <c r="N271" s="208">
        <v>1</v>
      </c>
      <c r="O271" s="208">
        <v>0</v>
      </c>
      <c r="P271" s="208">
        <v>1.321</v>
      </c>
      <c r="Q271" s="218" t="s">
        <v>147</v>
      </c>
      <c r="R271" s="218" t="s">
        <v>147</v>
      </c>
      <c r="S271" s="208">
        <v>0</v>
      </c>
      <c r="T271" s="208">
        <v>1</v>
      </c>
      <c r="U271" s="280" t="s">
        <v>2694</v>
      </c>
    </row>
    <row r="272" spans="1:21" x14ac:dyDescent="0.25">
      <c r="A272" s="211" t="s">
        <v>2695</v>
      </c>
      <c r="B272" s="209" t="s">
        <v>2692</v>
      </c>
      <c r="C272" s="209" t="s">
        <v>2696</v>
      </c>
      <c r="D272" s="209" t="s">
        <v>461</v>
      </c>
      <c r="E272" s="209" t="s">
        <v>1914</v>
      </c>
      <c r="F272" s="208">
        <v>3.8999999999999998E-3</v>
      </c>
      <c r="G272" s="208">
        <v>3</v>
      </c>
      <c r="H272" s="209" t="s">
        <v>1916</v>
      </c>
      <c r="I272" s="209" t="s">
        <v>182</v>
      </c>
      <c r="J272" s="209" t="s">
        <v>1924</v>
      </c>
      <c r="K272" s="212" t="s">
        <v>2798</v>
      </c>
      <c r="L272" s="209"/>
      <c r="M272" s="208">
        <v>0</v>
      </c>
      <c r="N272" s="208">
        <v>1</v>
      </c>
      <c r="O272" s="208">
        <v>0</v>
      </c>
      <c r="P272" s="208">
        <v>1.321</v>
      </c>
      <c r="Q272" s="218" t="s">
        <v>147</v>
      </c>
      <c r="R272" s="218" t="s">
        <v>147</v>
      </c>
      <c r="S272" s="208">
        <v>0</v>
      </c>
      <c r="T272" s="208">
        <v>1</v>
      </c>
      <c r="U272" s="280" t="s">
        <v>2694</v>
      </c>
    </row>
    <row r="273" spans="1:21" x14ac:dyDescent="0.25">
      <c r="A273" s="211" t="s">
        <v>2699</v>
      </c>
      <c r="B273" s="209" t="s">
        <v>2692</v>
      </c>
      <c r="C273" s="209" t="s">
        <v>2700</v>
      </c>
      <c r="D273" s="209" t="s">
        <v>461</v>
      </c>
      <c r="E273" s="209" t="s">
        <v>1914</v>
      </c>
      <c r="F273" s="208">
        <v>3.8999999999999998E-3</v>
      </c>
      <c r="G273" s="208">
        <v>3</v>
      </c>
      <c r="H273" s="209" t="s">
        <v>1916</v>
      </c>
      <c r="I273" s="209" t="s">
        <v>182</v>
      </c>
      <c r="J273" s="209" t="s">
        <v>1924</v>
      </c>
      <c r="K273" s="212" t="s">
        <v>2798</v>
      </c>
      <c r="L273" s="209"/>
      <c r="M273" s="208">
        <v>0</v>
      </c>
      <c r="N273" s="208">
        <v>1</v>
      </c>
      <c r="O273" s="208">
        <v>0</v>
      </c>
      <c r="P273" s="208">
        <v>1.321</v>
      </c>
      <c r="Q273" s="218" t="s">
        <v>147</v>
      </c>
      <c r="R273" s="218" t="s">
        <v>147</v>
      </c>
      <c r="S273" s="208">
        <v>0</v>
      </c>
      <c r="T273" s="208">
        <v>1</v>
      </c>
      <c r="U273" s="280" t="s">
        <v>2694</v>
      </c>
    </row>
    <row r="274" spans="1:21" x14ac:dyDescent="0.25">
      <c r="A274" s="211" t="s">
        <v>2697</v>
      </c>
      <c r="B274" s="209" t="s">
        <v>2692</v>
      </c>
      <c r="C274" s="209" t="s">
        <v>2698</v>
      </c>
      <c r="D274" s="209" t="s">
        <v>461</v>
      </c>
      <c r="E274" s="209" t="s">
        <v>1914</v>
      </c>
      <c r="F274" s="208">
        <v>3.8999999999999998E-3</v>
      </c>
      <c r="G274" s="208">
        <v>3</v>
      </c>
      <c r="H274" s="209" t="s">
        <v>1916</v>
      </c>
      <c r="I274" s="209" t="s">
        <v>182</v>
      </c>
      <c r="J274" s="209" t="s">
        <v>1924</v>
      </c>
      <c r="K274" s="212" t="s">
        <v>2798</v>
      </c>
      <c r="L274" s="209"/>
      <c r="M274" s="208">
        <v>0</v>
      </c>
      <c r="N274" s="208">
        <v>1</v>
      </c>
      <c r="O274" s="208">
        <v>0</v>
      </c>
      <c r="P274" s="208">
        <v>1.321</v>
      </c>
      <c r="Q274" s="218" t="s">
        <v>147</v>
      </c>
      <c r="R274" s="218" t="s">
        <v>147</v>
      </c>
      <c r="S274" s="208">
        <v>0</v>
      </c>
      <c r="T274" s="208">
        <v>1</v>
      </c>
      <c r="U274" s="280" t="s">
        <v>2694</v>
      </c>
    </row>
    <row r="275" spans="1:21" x14ac:dyDescent="0.25">
      <c r="A275" s="211" t="s">
        <v>1708</v>
      </c>
      <c r="B275" s="209" t="s">
        <v>2571</v>
      </c>
      <c r="C275" s="209" t="s">
        <v>2572</v>
      </c>
      <c r="D275" s="209" t="s">
        <v>461</v>
      </c>
      <c r="E275" s="209" t="s">
        <v>1914</v>
      </c>
      <c r="F275" s="208">
        <v>1.238E-2</v>
      </c>
      <c r="G275" s="208">
        <v>2.9809999999999999</v>
      </c>
      <c r="H275" s="209" t="s">
        <v>1916</v>
      </c>
      <c r="I275" s="209" t="s">
        <v>182</v>
      </c>
      <c r="J275" s="209" t="s">
        <v>1917</v>
      </c>
      <c r="K275" s="212" t="s">
        <v>2798</v>
      </c>
      <c r="L275" s="209"/>
      <c r="M275" s="208">
        <v>0</v>
      </c>
      <c r="N275" s="208">
        <v>1.105</v>
      </c>
      <c r="O275" s="208">
        <v>0</v>
      </c>
      <c r="P275" s="208">
        <v>1.2050000000000001</v>
      </c>
      <c r="Q275" s="208">
        <v>0</v>
      </c>
      <c r="R275" s="208">
        <v>0.82987551867219911</v>
      </c>
      <c r="S275" s="208">
        <v>0</v>
      </c>
      <c r="T275" s="208">
        <v>0.90497737556561086</v>
      </c>
      <c r="U275" s="280" t="s">
        <v>2573</v>
      </c>
    </row>
    <row r="276" spans="1:21" x14ac:dyDescent="0.25">
      <c r="A276" s="211" t="s">
        <v>2574</v>
      </c>
      <c r="B276" s="209" t="s">
        <v>2571</v>
      </c>
      <c r="C276" s="209" t="s">
        <v>2575</v>
      </c>
      <c r="D276" s="209" t="s">
        <v>461</v>
      </c>
      <c r="E276" s="209" t="s">
        <v>1914</v>
      </c>
      <c r="F276" s="208">
        <v>1.8296666666666666E-2</v>
      </c>
      <c r="G276" s="208">
        <v>2.911</v>
      </c>
      <c r="H276" s="209" t="s">
        <v>1916</v>
      </c>
      <c r="I276" s="209" t="s">
        <v>182</v>
      </c>
      <c r="J276" s="209" t="s">
        <v>1924</v>
      </c>
      <c r="K276" s="212" t="s">
        <v>2798</v>
      </c>
      <c r="L276" s="209"/>
      <c r="M276" s="208">
        <v>0</v>
      </c>
      <c r="N276" s="208">
        <v>1.105</v>
      </c>
      <c r="O276" s="208">
        <v>0</v>
      </c>
      <c r="P276" s="208">
        <v>1.2050000000000001</v>
      </c>
      <c r="Q276" s="208">
        <v>0</v>
      </c>
      <c r="R276" s="208">
        <v>0.82987551867219911</v>
      </c>
      <c r="S276" s="208">
        <v>0</v>
      </c>
      <c r="T276" s="208">
        <v>0.90497737556561086</v>
      </c>
      <c r="U276" s="280" t="s">
        <v>2573</v>
      </c>
    </row>
    <row r="277" spans="1:21" x14ac:dyDescent="0.25">
      <c r="A277" s="211" t="s">
        <v>2576</v>
      </c>
      <c r="B277" s="209" t="s">
        <v>2571</v>
      </c>
      <c r="C277" s="209" t="s">
        <v>2577</v>
      </c>
      <c r="D277" s="209" t="s">
        <v>461</v>
      </c>
      <c r="E277" s="209" t="s">
        <v>1914</v>
      </c>
      <c r="F277" s="208">
        <v>1.8296666666666666E-2</v>
      </c>
      <c r="G277" s="208">
        <v>2.911</v>
      </c>
      <c r="H277" s="209" t="s">
        <v>1916</v>
      </c>
      <c r="I277" s="209" t="s">
        <v>182</v>
      </c>
      <c r="J277" s="209" t="s">
        <v>1924</v>
      </c>
      <c r="K277" s="212" t="s">
        <v>2798</v>
      </c>
      <c r="L277" s="209"/>
      <c r="M277" s="208">
        <v>0</v>
      </c>
      <c r="N277" s="208">
        <v>1.105</v>
      </c>
      <c r="O277" s="208">
        <v>0</v>
      </c>
      <c r="P277" s="208">
        <v>1.2050000000000001</v>
      </c>
      <c r="Q277" s="208">
        <v>0</v>
      </c>
      <c r="R277" s="208">
        <v>0.82987551867219911</v>
      </c>
      <c r="S277" s="208">
        <v>0</v>
      </c>
      <c r="T277" s="208">
        <v>0.90497737556561086</v>
      </c>
      <c r="U277" s="280" t="s">
        <v>2573</v>
      </c>
    </row>
    <row r="278" spans="1:21" x14ac:dyDescent="0.25">
      <c r="A278" s="211" t="s">
        <v>1568</v>
      </c>
      <c r="B278" s="209" t="s">
        <v>2491</v>
      </c>
      <c r="C278" s="209" t="s">
        <v>2495</v>
      </c>
      <c r="D278" s="209" t="s">
        <v>461</v>
      </c>
      <c r="E278" s="209" t="s">
        <v>1914</v>
      </c>
      <c r="F278" s="208">
        <v>1.4421613E-2</v>
      </c>
      <c r="G278" s="208">
        <v>3.0684109679999998</v>
      </c>
      <c r="H278" s="209" t="s">
        <v>1916</v>
      </c>
      <c r="I278" s="209" t="s">
        <v>182</v>
      </c>
      <c r="J278" s="209" t="s">
        <v>1924</v>
      </c>
      <c r="K278" s="212" t="s">
        <v>2798</v>
      </c>
      <c r="L278" s="209"/>
      <c r="M278" s="208">
        <v>0</v>
      </c>
      <c r="N278" s="208">
        <v>1</v>
      </c>
      <c r="O278" s="208">
        <v>0</v>
      </c>
      <c r="P278" s="208">
        <v>1.2180267965895251</v>
      </c>
      <c r="Q278" s="208">
        <v>0</v>
      </c>
      <c r="R278" s="208">
        <v>0.82099999999999995</v>
      </c>
      <c r="S278" s="208">
        <v>0</v>
      </c>
      <c r="T278" s="208">
        <v>1</v>
      </c>
      <c r="U278" s="280" t="s">
        <v>2493</v>
      </c>
    </row>
    <row r="279" spans="1:21" x14ac:dyDescent="0.25">
      <c r="A279" s="211" t="s">
        <v>2243</v>
      </c>
      <c r="B279" s="209" t="s">
        <v>2240</v>
      </c>
      <c r="C279" s="209" t="s">
        <v>2244</v>
      </c>
      <c r="D279" s="209" t="s">
        <v>461</v>
      </c>
      <c r="E279" s="209" t="s">
        <v>1914</v>
      </c>
      <c r="F279" s="208">
        <v>5.3377777777777781E-3</v>
      </c>
      <c r="G279" s="208">
        <v>3.1249111111111123</v>
      </c>
      <c r="H279" s="209" t="s">
        <v>1916</v>
      </c>
      <c r="I279" s="209" t="s">
        <v>182</v>
      </c>
      <c r="J279" s="209" t="s">
        <v>1924</v>
      </c>
      <c r="K279" s="212" t="s">
        <v>2798</v>
      </c>
      <c r="L279" s="209"/>
      <c r="M279" s="208">
        <v>0</v>
      </c>
      <c r="N279" s="208">
        <v>1</v>
      </c>
      <c r="O279" s="208">
        <v>0</v>
      </c>
      <c r="P279" s="208">
        <v>1.0111223458038423</v>
      </c>
      <c r="Q279" s="208">
        <v>0</v>
      </c>
      <c r="R279" s="208">
        <v>0.98899999999999999</v>
      </c>
      <c r="S279" s="208">
        <v>0</v>
      </c>
      <c r="T279" s="208">
        <v>1</v>
      </c>
      <c r="U279" s="280" t="s">
        <v>2242</v>
      </c>
    </row>
    <row r="280" spans="1:21" x14ac:dyDescent="0.25">
      <c r="A280" s="211" t="s">
        <v>2329</v>
      </c>
      <c r="B280" s="209" t="s">
        <v>2307</v>
      </c>
      <c r="C280" s="209" t="s">
        <v>1911</v>
      </c>
      <c r="D280" s="209" t="s">
        <v>461</v>
      </c>
      <c r="E280" s="209" t="s">
        <v>1914</v>
      </c>
      <c r="F280" s="208">
        <v>1.5599999999999999E-2</v>
      </c>
      <c r="G280" s="208">
        <v>2.8610000000000002</v>
      </c>
      <c r="H280" s="209" t="s">
        <v>1916</v>
      </c>
      <c r="I280" s="209" t="s">
        <v>182</v>
      </c>
      <c r="J280" s="209" t="s">
        <v>2309</v>
      </c>
      <c r="K280" s="212" t="s">
        <v>2798</v>
      </c>
      <c r="L280" s="209"/>
      <c r="M280" s="208">
        <v>0</v>
      </c>
      <c r="N280" s="208">
        <v>1.012</v>
      </c>
      <c r="O280" s="208">
        <v>0</v>
      </c>
      <c r="P280" s="208">
        <v>1.2090000000000001</v>
      </c>
      <c r="Q280" s="208">
        <v>0</v>
      </c>
      <c r="R280" s="208">
        <v>0.82712985938792383</v>
      </c>
      <c r="S280" s="208">
        <v>0</v>
      </c>
      <c r="T280" s="208">
        <v>0.98814229249011853</v>
      </c>
      <c r="U280" s="280" t="s">
        <v>2310</v>
      </c>
    </row>
    <row r="281" spans="1:21" x14ac:dyDescent="0.25">
      <c r="A281" s="211" t="s">
        <v>1234</v>
      </c>
      <c r="B281" s="209" t="s">
        <v>2307</v>
      </c>
      <c r="C281" s="209" t="s">
        <v>2330</v>
      </c>
      <c r="D281" s="209" t="s">
        <v>461</v>
      </c>
      <c r="E281" s="209" t="s">
        <v>1914</v>
      </c>
      <c r="F281" s="208">
        <v>1.5599999999999999E-2</v>
      </c>
      <c r="G281" s="208">
        <v>2.8610000000000002</v>
      </c>
      <c r="H281" s="209" t="s">
        <v>1916</v>
      </c>
      <c r="I281" s="209" t="s">
        <v>182</v>
      </c>
      <c r="J281" s="209" t="s">
        <v>1917</v>
      </c>
      <c r="K281" s="212" t="s">
        <v>2798</v>
      </c>
      <c r="L281" s="209"/>
      <c r="M281" s="208">
        <v>0</v>
      </c>
      <c r="N281" s="208">
        <v>1.012</v>
      </c>
      <c r="O281" s="208">
        <v>0</v>
      </c>
      <c r="P281" s="208">
        <v>1.2090000000000001</v>
      </c>
      <c r="Q281" s="208">
        <v>0</v>
      </c>
      <c r="R281" s="208">
        <v>0.82712985938792383</v>
      </c>
      <c r="S281" s="208">
        <v>0</v>
      </c>
      <c r="T281" s="208">
        <v>0.98814229249011853</v>
      </c>
      <c r="U281" s="280" t="s">
        <v>2310</v>
      </c>
    </row>
    <row r="282" spans="1:21" x14ac:dyDescent="0.25">
      <c r="A282" s="211" t="s">
        <v>1236</v>
      </c>
      <c r="B282" s="209" t="s">
        <v>2307</v>
      </c>
      <c r="C282" s="209" t="s">
        <v>2331</v>
      </c>
      <c r="D282" s="209" t="s">
        <v>461</v>
      </c>
      <c r="E282" s="209" t="s">
        <v>1914</v>
      </c>
      <c r="F282" s="208">
        <v>1.5599999999999999E-2</v>
      </c>
      <c r="G282" s="208">
        <v>2.8610000000000002</v>
      </c>
      <c r="H282" s="209" t="s">
        <v>1916</v>
      </c>
      <c r="I282" s="209" t="s">
        <v>182</v>
      </c>
      <c r="J282" s="209" t="s">
        <v>2309</v>
      </c>
      <c r="K282" s="212" t="s">
        <v>2798</v>
      </c>
      <c r="L282" s="209"/>
      <c r="M282" s="208">
        <v>0</v>
      </c>
      <c r="N282" s="208">
        <v>1.012</v>
      </c>
      <c r="O282" s="208">
        <v>0</v>
      </c>
      <c r="P282" s="208">
        <v>1.2090000000000001</v>
      </c>
      <c r="Q282" s="208">
        <v>0</v>
      </c>
      <c r="R282" s="208">
        <v>0.82712985938792383</v>
      </c>
      <c r="S282" s="208">
        <v>0</v>
      </c>
      <c r="T282" s="208">
        <v>0.98814229249011853</v>
      </c>
      <c r="U282" s="280" t="s">
        <v>2310</v>
      </c>
    </row>
    <row r="283" spans="1:21" x14ac:dyDescent="0.25">
      <c r="A283" s="211" t="s">
        <v>1238</v>
      </c>
      <c r="B283" s="209" t="s">
        <v>2307</v>
      </c>
      <c r="C283" s="209" t="s">
        <v>2332</v>
      </c>
      <c r="D283" s="209" t="s">
        <v>461</v>
      </c>
      <c r="E283" s="209" t="s">
        <v>1914</v>
      </c>
      <c r="F283" s="208">
        <v>1.5599999999999999E-2</v>
      </c>
      <c r="G283" s="208">
        <v>2.8610000000000002</v>
      </c>
      <c r="H283" s="209" t="s">
        <v>1916</v>
      </c>
      <c r="I283" s="209" t="s">
        <v>182</v>
      </c>
      <c r="J283" s="209" t="s">
        <v>2309</v>
      </c>
      <c r="K283" s="212" t="s">
        <v>2798</v>
      </c>
      <c r="L283" s="209"/>
      <c r="M283" s="208">
        <v>0</v>
      </c>
      <c r="N283" s="208">
        <v>1.012</v>
      </c>
      <c r="O283" s="208">
        <v>0</v>
      </c>
      <c r="P283" s="208">
        <v>1.2090000000000001</v>
      </c>
      <c r="Q283" s="208">
        <v>0</v>
      </c>
      <c r="R283" s="208">
        <v>0.82712985938792383</v>
      </c>
      <c r="S283" s="208">
        <v>0</v>
      </c>
      <c r="T283" s="208">
        <v>0.98814229249011853</v>
      </c>
      <c r="U283" s="280" t="s">
        <v>2310</v>
      </c>
    </row>
    <row r="284" spans="1:21" x14ac:dyDescent="0.25">
      <c r="A284" s="211" t="s">
        <v>2245</v>
      </c>
      <c r="B284" s="209" t="s">
        <v>2240</v>
      </c>
      <c r="C284" s="209" t="s">
        <v>2246</v>
      </c>
      <c r="D284" s="209" t="s">
        <v>461</v>
      </c>
      <c r="E284" s="209" t="s">
        <v>1914</v>
      </c>
      <c r="F284" s="208">
        <v>5.3377777777777781E-3</v>
      </c>
      <c r="G284" s="208">
        <v>3.1249111111111123</v>
      </c>
      <c r="H284" s="209" t="s">
        <v>1916</v>
      </c>
      <c r="I284" s="209" t="s">
        <v>182</v>
      </c>
      <c r="J284" s="209" t="s">
        <v>1924</v>
      </c>
      <c r="K284" s="212" t="s">
        <v>2798</v>
      </c>
      <c r="L284" s="209"/>
      <c r="M284" s="208">
        <v>0</v>
      </c>
      <c r="N284" s="208">
        <v>1</v>
      </c>
      <c r="O284" s="208">
        <v>0</v>
      </c>
      <c r="P284" s="208">
        <v>1.0111223458038423</v>
      </c>
      <c r="Q284" s="208">
        <v>0</v>
      </c>
      <c r="R284" s="208">
        <v>0.98899999999999999</v>
      </c>
      <c r="S284" s="208">
        <v>0</v>
      </c>
      <c r="T284" s="208">
        <v>1</v>
      </c>
      <c r="U284" s="280" t="s">
        <v>2242</v>
      </c>
    </row>
    <row r="285" spans="1:21" x14ac:dyDescent="0.25">
      <c r="A285" s="211" t="s">
        <v>2247</v>
      </c>
      <c r="B285" s="209" t="s">
        <v>2240</v>
      </c>
      <c r="C285" s="209" t="s">
        <v>2248</v>
      </c>
      <c r="D285" s="209" t="s">
        <v>461</v>
      </c>
      <c r="E285" s="209" t="s">
        <v>1914</v>
      </c>
      <c r="F285" s="208">
        <v>5.3377777777777781E-3</v>
      </c>
      <c r="G285" s="208">
        <v>3.1249111111111123</v>
      </c>
      <c r="H285" s="209" t="s">
        <v>1916</v>
      </c>
      <c r="I285" s="209" t="s">
        <v>182</v>
      </c>
      <c r="J285" s="209" t="s">
        <v>1924</v>
      </c>
      <c r="K285" s="212" t="s">
        <v>2798</v>
      </c>
      <c r="L285" s="209"/>
      <c r="M285" s="208">
        <v>0</v>
      </c>
      <c r="N285" s="208">
        <v>1</v>
      </c>
      <c r="O285" s="208">
        <v>0</v>
      </c>
      <c r="P285" s="208">
        <v>1.0111223458038423</v>
      </c>
      <c r="Q285" s="208">
        <v>0</v>
      </c>
      <c r="R285" s="208">
        <v>0.98899999999999999</v>
      </c>
      <c r="S285" s="208">
        <v>0</v>
      </c>
      <c r="T285" s="208">
        <v>1</v>
      </c>
      <c r="U285" s="280" t="s">
        <v>2242</v>
      </c>
    </row>
    <row r="286" spans="1:21" x14ac:dyDescent="0.25">
      <c r="A286" s="211" t="s">
        <v>2249</v>
      </c>
      <c r="B286" s="209" t="s">
        <v>2240</v>
      </c>
      <c r="C286" s="209" t="s">
        <v>1911</v>
      </c>
      <c r="D286" s="209" t="s">
        <v>461</v>
      </c>
      <c r="E286" s="209" t="s">
        <v>1914</v>
      </c>
      <c r="F286" s="208">
        <v>5.3377777777777781E-3</v>
      </c>
      <c r="G286" s="208">
        <v>3.1249111111111123</v>
      </c>
      <c r="H286" s="209" t="s">
        <v>1916</v>
      </c>
      <c r="I286" s="209" t="s">
        <v>182</v>
      </c>
      <c r="J286" s="209" t="s">
        <v>1924</v>
      </c>
      <c r="K286" s="212" t="s">
        <v>2798</v>
      </c>
      <c r="L286" s="209"/>
      <c r="M286" s="208">
        <v>0</v>
      </c>
      <c r="N286" s="208">
        <v>1</v>
      </c>
      <c r="O286" s="208">
        <v>0</v>
      </c>
      <c r="P286" s="208">
        <v>1.0111223458038423</v>
      </c>
      <c r="Q286" s="208">
        <v>0</v>
      </c>
      <c r="R286" s="208">
        <v>0.98899999999999999</v>
      </c>
      <c r="S286" s="208">
        <v>0</v>
      </c>
      <c r="T286" s="208">
        <v>1</v>
      </c>
      <c r="U286" s="280" t="s">
        <v>2242</v>
      </c>
    </row>
    <row r="287" spans="1:21" x14ac:dyDescent="0.25">
      <c r="A287" s="211" t="s">
        <v>2716</v>
      </c>
      <c r="B287" s="209" t="s">
        <v>2702</v>
      </c>
      <c r="C287" s="209" t="s">
        <v>2717</v>
      </c>
      <c r="D287" s="209" t="s">
        <v>461</v>
      </c>
      <c r="E287" s="209" t="s">
        <v>1914</v>
      </c>
      <c r="F287" s="208">
        <v>1.54E-2</v>
      </c>
      <c r="G287" s="208">
        <v>3.0630000000000002</v>
      </c>
      <c r="H287" s="209" t="s">
        <v>1923</v>
      </c>
      <c r="I287" s="209" t="s">
        <v>182</v>
      </c>
      <c r="J287" s="209" t="s">
        <v>2538</v>
      </c>
      <c r="K287" s="212" t="s">
        <v>2798</v>
      </c>
      <c r="L287" s="209" t="s">
        <v>2788</v>
      </c>
      <c r="M287" s="208">
        <v>0</v>
      </c>
      <c r="N287" s="208">
        <v>1</v>
      </c>
      <c r="O287" s="218" t="s">
        <v>147</v>
      </c>
      <c r="P287" s="218" t="s">
        <v>147</v>
      </c>
      <c r="Q287" s="282" t="s">
        <v>147</v>
      </c>
      <c r="R287" s="282" t="s">
        <v>147</v>
      </c>
      <c r="S287" s="208">
        <v>0</v>
      </c>
      <c r="T287" s="208">
        <v>1</v>
      </c>
      <c r="U287" s="280" t="s">
        <v>2703</v>
      </c>
    </row>
    <row r="288" spans="1:21" x14ac:dyDescent="0.25">
      <c r="A288" s="211" t="s">
        <v>2502</v>
      </c>
      <c r="B288" s="209" t="s">
        <v>2491</v>
      </c>
      <c r="C288" s="209" t="s">
        <v>2503</v>
      </c>
      <c r="D288" s="209" t="s">
        <v>461</v>
      </c>
      <c r="E288" s="209" t="s">
        <v>1914</v>
      </c>
      <c r="F288" s="208">
        <v>1.4421613E-2</v>
      </c>
      <c r="G288" s="208">
        <v>3.0684109679999998</v>
      </c>
      <c r="H288" s="209" t="s">
        <v>1916</v>
      </c>
      <c r="I288" s="209" t="s">
        <v>182</v>
      </c>
      <c r="J288" s="209" t="s">
        <v>1924</v>
      </c>
      <c r="K288" s="212" t="s">
        <v>2798</v>
      </c>
      <c r="L288" s="209"/>
      <c r="M288" s="208">
        <v>0</v>
      </c>
      <c r="N288" s="208">
        <v>1</v>
      </c>
      <c r="O288" s="208">
        <v>0</v>
      </c>
      <c r="P288" s="208">
        <v>1.2180267965895251</v>
      </c>
      <c r="Q288" s="208">
        <v>0</v>
      </c>
      <c r="R288" s="208">
        <v>0.82099999999999995</v>
      </c>
      <c r="S288" s="208">
        <v>0</v>
      </c>
      <c r="T288" s="208">
        <v>1</v>
      </c>
      <c r="U288" s="280" t="s">
        <v>2493</v>
      </c>
    </row>
    <row r="289" spans="1:21" x14ac:dyDescent="0.25">
      <c r="A289" s="211" t="s">
        <v>1594</v>
      </c>
      <c r="B289" s="209" t="s">
        <v>2491</v>
      </c>
      <c r="C289" s="209" t="s">
        <v>2505</v>
      </c>
      <c r="D289" s="209" t="s">
        <v>461</v>
      </c>
      <c r="E289" s="209" t="s">
        <v>1914</v>
      </c>
      <c r="F289" s="208">
        <v>1.4421613E-2</v>
      </c>
      <c r="G289" s="208">
        <v>3.0684109679999998</v>
      </c>
      <c r="H289" s="209" t="s">
        <v>1916</v>
      </c>
      <c r="I289" s="209" t="s">
        <v>182</v>
      </c>
      <c r="J289" s="209" t="s">
        <v>1924</v>
      </c>
      <c r="K289" s="212" t="s">
        <v>2798</v>
      </c>
      <c r="L289" s="209"/>
      <c r="M289" s="208">
        <v>0</v>
      </c>
      <c r="N289" s="208">
        <v>1</v>
      </c>
      <c r="O289" s="208">
        <v>0</v>
      </c>
      <c r="P289" s="208">
        <v>1.2180267965895251</v>
      </c>
      <c r="Q289" s="208">
        <v>0</v>
      </c>
      <c r="R289" s="208">
        <v>0.82099999999999995</v>
      </c>
      <c r="S289" s="208">
        <v>0</v>
      </c>
      <c r="T289" s="208">
        <v>1</v>
      </c>
      <c r="U289" s="280" t="s">
        <v>2493</v>
      </c>
    </row>
    <row r="290" spans="1:21" x14ac:dyDescent="0.25">
      <c r="A290" s="211" t="s">
        <v>1602</v>
      </c>
      <c r="B290" s="209" t="s">
        <v>2491</v>
      </c>
      <c r="C290" s="209" t="s">
        <v>2509</v>
      </c>
      <c r="D290" s="209" t="s">
        <v>461</v>
      </c>
      <c r="E290" s="209" t="s">
        <v>1914</v>
      </c>
      <c r="F290" s="208">
        <v>1.4421613E-2</v>
      </c>
      <c r="G290" s="208">
        <v>3.0684109679999998</v>
      </c>
      <c r="H290" s="209" t="s">
        <v>1916</v>
      </c>
      <c r="I290" s="209" t="s">
        <v>182</v>
      </c>
      <c r="J290" s="209" t="s">
        <v>1924</v>
      </c>
      <c r="K290" s="212" t="s">
        <v>2798</v>
      </c>
      <c r="L290" s="209"/>
      <c r="M290" s="208">
        <v>0</v>
      </c>
      <c r="N290" s="208">
        <v>1</v>
      </c>
      <c r="O290" s="208">
        <v>0</v>
      </c>
      <c r="P290" s="208">
        <v>1.2180267965895251</v>
      </c>
      <c r="Q290" s="208">
        <v>0</v>
      </c>
      <c r="R290" s="208">
        <v>0.82099999999999995</v>
      </c>
      <c r="S290" s="208">
        <v>0</v>
      </c>
      <c r="T290" s="208">
        <v>1</v>
      </c>
      <c r="U290" s="280" t="s">
        <v>2493</v>
      </c>
    </row>
    <row r="291" spans="1:21" x14ac:dyDescent="0.25">
      <c r="A291" s="211" t="s">
        <v>1596</v>
      </c>
      <c r="B291" s="209" t="s">
        <v>2491</v>
      </c>
      <c r="C291" s="209" t="s">
        <v>2506</v>
      </c>
      <c r="D291" s="209" t="s">
        <v>461</v>
      </c>
      <c r="E291" s="209" t="s">
        <v>1914</v>
      </c>
      <c r="F291" s="208">
        <v>1.4421613E-2</v>
      </c>
      <c r="G291" s="208">
        <v>3.0684109679999998</v>
      </c>
      <c r="H291" s="209" t="s">
        <v>1916</v>
      </c>
      <c r="I291" s="209" t="s">
        <v>182</v>
      </c>
      <c r="J291" s="209" t="s">
        <v>1924</v>
      </c>
      <c r="K291" s="212" t="s">
        <v>2798</v>
      </c>
      <c r="L291" s="209"/>
      <c r="M291" s="208">
        <v>0</v>
      </c>
      <c r="N291" s="208">
        <v>1</v>
      </c>
      <c r="O291" s="208">
        <v>0</v>
      </c>
      <c r="P291" s="208">
        <v>1.2180267965895251</v>
      </c>
      <c r="Q291" s="208">
        <v>0</v>
      </c>
      <c r="R291" s="208">
        <v>0.82099999999999995</v>
      </c>
      <c r="S291" s="208">
        <v>0</v>
      </c>
      <c r="T291" s="208">
        <v>1</v>
      </c>
      <c r="U291" s="280" t="s">
        <v>2493</v>
      </c>
    </row>
    <row r="292" spans="1:21" x14ac:dyDescent="0.25">
      <c r="A292" s="211" t="s">
        <v>2504</v>
      </c>
      <c r="B292" s="209" t="s">
        <v>2491</v>
      </c>
      <c r="C292" s="209" t="s">
        <v>1911</v>
      </c>
      <c r="D292" s="209" t="s">
        <v>461</v>
      </c>
      <c r="E292" s="209" t="s">
        <v>1914</v>
      </c>
      <c r="F292" s="208">
        <v>1.4421613E-2</v>
      </c>
      <c r="G292" s="208">
        <v>3.0684109679999998</v>
      </c>
      <c r="H292" s="209" t="s">
        <v>1916</v>
      </c>
      <c r="I292" s="209" t="s">
        <v>182</v>
      </c>
      <c r="J292" s="209" t="s">
        <v>1924</v>
      </c>
      <c r="K292" s="212" t="s">
        <v>2798</v>
      </c>
      <c r="L292" s="209"/>
      <c r="M292" s="208">
        <v>0</v>
      </c>
      <c r="N292" s="208">
        <v>1</v>
      </c>
      <c r="O292" s="208">
        <v>0</v>
      </c>
      <c r="P292" s="208">
        <v>1.2180267965895251</v>
      </c>
      <c r="Q292" s="208">
        <v>0</v>
      </c>
      <c r="R292" s="208">
        <v>0.82099999999999995</v>
      </c>
      <c r="S292" s="208">
        <v>0</v>
      </c>
      <c r="T292" s="208">
        <v>1</v>
      </c>
      <c r="U292" s="280" t="s">
        <v>2493</v>
      </c>
    </row>
    <row r="293" spans="1:21" x14ac:dyDescent="0.25">
      <c r="A293" s="211" t="s">
        <v>1598</v>
      </c>
      <c r="B293" s="209" t="s">
        <v>2491</v>
      </c>
      <c r="C293" s="209" t="s">
        <v>2508</v>
      </c>
      <c r="D293" s="209" t="s">
        <v>461</v>
      </c>
      <c r="E293" s="209" t="s">
        <v>1914</v>
      </c>
      <c r="F293" s="208">
        <v>1.4421613E-2</v>
      </c>
      <c r="G293" s="208">
        <v>3.0684109679999998</v>
      </c>
      <c r="H293" s="209" t="s">
        <v>1916</v>
      </c>
      <c r="I293" s="209" t="s">
        <v>182</v>
      </c>
      <c r="J293" s="209" t="s">
        <v>1924</v>
      </c>
      <c r="K293" s="212" t="s">
        <v>2798</v>
      </c>
      <c r="L293" s="209"/>
      <c r="M293" s="208">
        <v>0</v>
      </c>
      <c r="N293" s="208">
        <v>1</v>
      </c>
      <c r="O293" s="208">
        <v>0</v>
      </c>
      <c r="P293" s="208">
        <v>1.2180267965895251</v>
      </c>
      <c r="Q293" s="208">
        <v>0</v>
      </c>
      <c r="R293" s="208">
        <v>0.82099999999999995</v>
      </c>
      <c r="S293" s="208">
        <v>0</v>
      </c>
      <c r="T293" s="208">
        <v>1</v>
      </c>
      <c r="U293" s="280" t="s">
        <v>2493</v>
      </c>
    </row>
    <row r="294" spans="1:21" x14ac:dyDescent="0.25">
      <c r="A294" s="211" t="s">
        <v>1600</v>
      </c>
      <c r="B294" s="209" t="s">
        <v>2491</v>
      </c>
      <c r="C294" s="209" t="s">
        <v>2507</v>
      </c>
      <c r="D294" s="209" t="s">
        <v>461</v>
      </c>
      <c r="E294" s="209" t="s">
        <v>1914</v>
      </c>
      <c r="F294" s="208">
        <v>1.4421613E-2</v>
      </c>
      <c r="G294" s="208">
        <v>3.0684109679999998</v>
      </c>
      <c r="H294" s="209" t="s">
        <v>1916</v>
      </c>
      <c r="I294" s="209" t="s">
        <v>182</v>
      </c>
      <c r="J294" s="209" t="s">
        <v>1924</v>
      </c>
      <c r="K294" s="212" t="s">
        <v>2798</v>
      </c>
      <c r="L294" s="209"/>
      <c r="M294" s="208">
        <v>0</v>
      </c>
      <c r="N294" s="208">
        <v>1</v>
      </c>
      <c r="O294" s="208">
        <v>0</v>
      </c>
      <c r="P294" s="208">
        <v>1.2180267965895251</v>
      </c>
      <c r="Q294" s="208">
        <v>0</v>
      </c>
      <c r="R294" s="208">
        <v>0.82099999999999995</v>
      </c>
      <c r="S294" s="208">
        <v>0</v>
      </c>
      <c r="T294" s="208">
        <v>1</v>
      </c>
      <c r="U294" s="280" t="s">
        <v>2493</v>
      </c>
    </row>
    <row r="295" spans="1:21" x14ac:dyDescent="0.25">
      <c r="A295" s="211" t="s">
        <v>2225</v>
      </c>
      <c r="B295" s="209" t="s">
        <v>2220</v>
      </c>
      <c r="C295" s="209" t="s">
        <v>2226</v>
      </c>
      <c r="D295" s="209" t="s">
        <v>461</v>
      </c>
      <c r="E295" s="209" t="s">
        <v>1914</v>
      </c>
      <c r="F295" s="208">
        <v>6.6637500000000004E-3</v>
      </c>
      <c r="G295" s="208">
        <v>3.3155000000000001</v>
      </c>
      <c r="H295" s="209" t="s">
        <v>1916</v>
      </c>
      <c r="I295" s="209" t="s">
        <v>182</v>
      </c>
      <c r="J295" s="209" t="s">
        <v>1924</v>
      </c>
      <c r="K295" s="212" t="s">
        <v>2798</v>
      </c>
      <c r="L295" s="209"/>
      <c r="M295" s="208">
        <v>0</v>
      </c>
      <c r="N295" s="208">
        <v>1</v>
      </c>
      <c r="O295" s="208">
        <v>0</v>
      </c>
      <c r="P295" s="208">
        <v>1.07</v>
      </c>
      <c r="Q295" s="208">
        <v>0</v>
      </c>
      <c r="R295" s="208">
        <v>0.93457943925233644</v>
      </c>
      <c r="S295" s="208">
        <v>0</v>
      </c>
      <c r="T295" s="208">
        <v>1</v>
      </c>
      <c r="U295" s="280" t="s">
        <v>2222</v>
      </c>
    </row>
    <row r="296" spans="1:21" x14ac:dyDescent="0.25">
      <c r="A296" s="211" t="s">
        <v>2718</v>
      </c>
      <c r="B296" s="209" t="s">
        <v>2702</v>
      </c>
      <c r="C296" s="209" t="s">
        <v>2719</v>
      </c>
      <c r="D296" s="209" t="s">
        <v>461</v>
      </c>
      <c r="E296" s="209" t="s">
        <v>1914</v>
      </c>
      <c r="F296" s="208">
        <v>1.54E-2</v>
      </c>
      <c r="G296" s="208">
        <v>3.0630000000000002</v>
      </c>
      <c r="H296" s="209" t="s">
        <v>1923</v>
      </c>
      <c r="I296" s="209" t="s">
        <v>182</v>
      </c>
      <c r="J296" s="209" t="s">
        <v>2538</v>
      </c>
      <c r="K296" s="212" t="s">
        <v>2798</v>
      </c>
      <c r="L296" s="209" t="s">
        <v>2788</v>
      </c>
      <c r="M296" s="208">
        <v>0</v>
      </c>
      <c r="N296" s="208">
        <v>1</v>
      </c>
      <c r="O296" s="218" t="s">
        <v>147</v>
      </c>
      <c r="P296" s="218" t="s">
        <v>147</v>
      </c>
      <c r="Q296" s="218" t="s">
        <v>147</v>
      </c>
      <c r="R296" s="218" t="s">
        <v>147</v>
      </c>
      <c r="S296" s="208">
        <v>0</v>
      </c>
      <c r="T296" s="208">
        <v>1</v>
      </c>
      <c r="U296" s="280" t="s">
        <v>2703</v>
      </c>
    </row>
    <row r="297" spans="1:21" x14ac:dyDescent="0.25">
      <c r="A297" s="211" t="s">
        <v>2333</v>
      </c>
      <c r="B297" s="209" t="s">
        <v>1911</v>
      </c>
      <c r="C297" s="209" t="s">
        <v>2334</v>
      </c>
      <c r="D297" s="209" t="s">
        <v>461</v>
      </c>
      <c r="E297" s="209" t="s">
        <v>1914</v>
      </c>
      <c r="F297" s="218" t="s">
        <v>147</v>
      </c>
      <c r="G297" s="218" t="s">
        <v>147</v>
      </c>
      <c r="H297" s="218" t="s">
        <v>147</v>
      </c>
      <c r="I297" s="209" t="s">
        <v>182</v>
      </c>
      <c r="J297" s="209" t="s">
        <v>1911</v>
      </c>
      <c r="K297" s="212" t="s">
        <v>2798</v>
      </c>
      <c r="L297" s="209"/>
      <c r="M297" s="218" t="s">
        <v>147</v>
      </c>
      <c r="N297" s="218" t="s">
        <v>147</v>
      </c>
      <c r="O297" s="218" t="s">
        <v>147</v>
      </c>
      <c r="P297" s="218" t="s">
        <v>147</v>
      </c>
      <c r="Q297" s="218" t="s">
        <v>147</v>
      </c>
      <c r="R297" s="218" t="s">
        <v>147</v>
      </c>
      <c r="S297" s="218" t="s">
        <v>147</v>
      </c>
      <c r="T297" s="218" t="s">
        <v>147</v>
      </c>
      <c r="U297" s="280" t="s">
        <v>1911</v>
      </c>
    </row>
    <row r="298" spans="1:21" x14ac:dyDescent="0.25">
      <c r="A298" s="211" t="s">
        <v>2219</v>
      </c>
      <c r="B298" s="209" t="s">
        <v>2220</v>
      </c>
      <c r="C298" s="209" t="s">
        <v>2221</v>
      </c>
      <c r="D298" s="209" t="s">
        <v>461</v>
      </c>
      <c r="E298" s="209" t="s">
        <v>1914</v>
      </c>
      <c r="F298" s="208">
        <v>6.6637500000000004E-3</v>
      </c>
      <c r="G298" s="208">
        <v>3.3155000000000001</v>
      </c>
      <c r="H298" s="209" t="s">
        <v>1916</v>
      </c>
      <c r="I298" s="209" t="s">
        <v>182</v>
      </c>
      <c r="J298" s="209" t="s">
        <v>1924</v>
      </c>
      <c r="K298" s="212" t="s">
        <v>2798</v>
      </c>
      <c r="L298" s="209"/>
      <c r="M298" s="208">
        <v>0</v>
      </c>
      <c r="N298" s="208">
        <v>1</v>
      </c>
      <c r="O298" s="208">
        <v>0</v>
      </c>
      <c r="P298" s="208">
        <v>1.07</v>
      </c>
      <c r="Q298" s="208">
        <v>0</v>
      </c>
      <c r="R298" s="208">
        <v>0.93457943925233644</v>
      </c>
      <c r="S298" s="208">
        <v>0</v>
      </c>
      <c r="T298" s="208">
        <v>1</v>
      </c>
      <c r="U298" s="280" t="s">
        <v>2222</v>
      </c>
    </row>
    <row r="299" spans="1:21" x14ac:dyDescent="0.25">
      <c r="A299" s="211" t="s">
        <v>1573</v>
      </c>
      <c r="B299" s="209" t="s">
        <v>2491</v>
      </c>
      <c r="C299" s="209" t="s">
        <v>2510</v>
      </c>
      <c r="D299" s="209" t="s">
        <v>461</v>
      </c>
      <c r="E299" s="209" t="s">
        <v>1914</v>
      </c>
      <c r="F299" s="208">
        <v>1.4421613E-2</v>
      </c>
      <c r="G299" s="208">
        <v>3.0684109679999998</v>
      </c>
      <c r="H299" s="209" t="s">
        <v>1916</v>
      </c>
      <c r="I299" s="209" t="s">
        <v>182</v>
      </c>
      <c r="J299" s="209" t="s">
        <v>1924</v>
      </c>
      <c r="K299" s="212" t="s">
        <v>2798</v>
      </c>
      <c r="L299" s="209"/>
      <c r="M299" s="208">
        <v>0</v>
      </c>
      <c r="N299" s="208">
        <v>1</v>
      </c>
      <c r="O299" s="208">
        <v>0</v>
      </c>
      <c r="P299" s="208">
        <v>1.2180267965895251</v>
      </c>
      <c r="Q299" s="208">
        <v>0</v>
      </c>
      <c r="R299" s="208">
        <v>0.82099999999999995</v>
      </c>
      <c r="S299" s="208">
        <v>0</v>
      </c>
      <c r="T299" s="208">
        <v>1</v>
      </c>
      <c r="U299" s="280" t="s">
        <v>2493</v>
      </c>
    </row>
    <row r="300" spans="1:21" x14ac:dyDescent="0.25">
      <c r="A300" s="211" t="s">
        <v>2581</v>
      </c>
      <c r="B300" s="209" t="s">
        <v>2578</v>
      </c>
      <c r="C300" s="209" t="s">
        <v>1911</v>
      </c>
      <c r="D300" s="209" t="s">
        <v>461</v>
      </c>
      <c r="E300" s="209" t="s">
        <v>1914</v>
      </c>
      <c r="F300" s="208">
        <v>4.1466666666666666E-3</v>
      </c>
      <c r="G300" s="208">
        <v>3.2699999999999996</v>
      </c>
      <c r="H300" s="209" t="s">
        <v>1916</v>
      </c>
      <c r="I300" s="209" t="s">
        <v>182</v>
      </c>
      <c r="J300" s="209" t="s">
        <v>1924</v>
      </c>
      <c r="K300" s="212" t="s">
        <v>2798</v>
      </c>
      <c r="L300" s="209"/>
      <c r="M300" s="208">
        <v>0</v>
      </c>
      <c r="N300" s="208">
        <v>1</v>
      </c>
      <c r="O300" s="218" t="s">
        <v>147</v>
      </c>
      <c r="P300" s="218" t="s">
        <v>147</v>
      </c>
      <c r="Q300" s="218" t="s">
        <v>147</v>
      </c>
      <c r="R300" s="218" t="s">
        <v>147</v>
      </c>
      <c r="S300" s="208">
        <v>0</v>
      </c>
      <c r="T300" s="208">
        <v>1</v>
      </c>
      <c r="U300" s="280" t="s">
        <v>2580</v>
      </c>
    </row>
    <row r="301" spans="1:21" x14ac:dyDescent="0.25">
      <c r="A301" s="211" t="s">
        <v>2582</v>
      </c>
      <c r="B301" s="209" t="s">
        <v>2578</v>
      </c>
      <c r="C301" s="209" t="s">
        <v>2583</v>
      </c>
      <c r="D301" s="209" t="s">
        <v>461</v>
      </c>
      <c r="E301" s="209" t="s">
        <v>1914</v>
      </c>
      <c r="F301" s="208">
        <v>4.8000000000000001E-2</v>
      </c>
      <c r="G301" s="208">
        <v>2.1150000000000002</v>
      </c>
      <c r="H301" s="209" t="s">
        <v>1923</v>
      </c>
      <c r="I301" s="209" t="s">
        <v>182</v>
      </c>
      <c r="J301" s="209" t="s">
        <v>1917</v>
      </c>
      <c r="K301" s="212" t="s">
        <v>2798</v>
      </c>
      <c r="L301" s="209"/>
      <c r="M301" s="208">
        <v>0</v>
      </c>
      <c r="N301" s="208">
        <v>1</v>
      </c>
      <c r="O301" s="218" t="s">
        <v>147</v>
      </c>
      <c r="P301" s="218" t="s">
        <v>147</v>
      </c>
      <c r="Q301" s="218" t="s">
        <v>147</v>
      </c>
      <c r="R301" s="218" t="s">
        <v>147</v>
      </c>
      <c r="S301" s="208">
        <v>0</v>
      </c>
      <c r="T301" s="208">
        <v>1</v>
      </c>
      <c r="U301" s="280" t="s">
        <v>2580</v>
      </c>
    </row>
    <row r="302" spans="1:21" x14ac:dyDescent="0.25">
      <c r="A302" s="211" t="s">
        <v>2584</v>
      </c>
      <c r="B302" s="209" t="s">
        <v>2578</v>
      </c>
      <c r="C302" s="209" t="s">
        <v>2585</v>
      </c>
      <c r="D302" s="209" t="s">
        <v>461</v>
      </c>
      <c r="E302" s="209" t="s">
        <v>1914</v>
      </c>
      <c r="F302" s="208">
        <v>4.1466669999999997E-3</v>
      </c>
      <c r="G302" s="208">
        <v>3.27</v>
      </c>
      <c r="H302" s="209" t="s">
        <v>1916</v>
      </c>
      <c r="I302" s="209" t="s">
        <v>182</v>
      </c>
      <c r="J302" s="209" t="s">
        <v>1924</v>
      </c>
      <c r="K302" s="212" t="s">
        <v>2798</v>
      </c>
      <c r="L302" s="209"/>
      <c r="M302" s="208">
        <v>0</v>
      </c>
      <c r="N302" s="208">
        <v>1</v>
      </c>
      <c r="O302" s="218" t="s">
        <v>147</v>
      </c>
      <c r="P302" s="218" t="s">
        <v>147</v>
      </c>
      <c r="Q302" s="218" t="s">
        <v>147</v>
      </c>
      <c r="R302" s="218" t="s">
        <v>147</v>
      </c>
      <c r="S302" s="208">
        <v>0</v>
      </c>
      <c r="T302" s="208">
        <v>1</v>
      </c>
      <c r="U302" s="280" t="s">
        <v>2580</v>
      </c>
    </row>
    <row r="303" spans="1:21" x14ac:dyDescent="0.25">
      <c r="A303" s="211" t="s">
        <v>2691</v>
      </c>
      <c r="B303" s="209" t="s">
        <v>2679</v>
      </c>
      <c r="C303" s="209" t="s">
        <v>1911</v>
      </c>
      <c r="D303" s="209" t="s">
        <v>461</v>
      </c>
      <c r="E303" s="209" t="s">
        <v>1914</v>
      </c>
      <c r="F303" s="208">
        <v>3.0999999999999999E-3</v>
      </c>
      <c r="G303" s="208">
        <v>3.47</v>
      </c>
      <c r="H303" s="209" t="s">
        <v>1916</v>
      </c>
      <c r="I303" s="209" t="s">
        <v>182</v>
      </c>
      <c r="J303" s="209" t="s">
        <v>2538</v>
      </c>
      <c r="K303" s="212" t="s">
        <v>2798</v>
      </c>
      <c r="L303" s="209"/>
      <c r="M303" s="208">
        <v>0</v>
      </c>
      <c r="N303" s="208">
        <v>1</v>
      </c>
      <c r="O303" s="208">
        <v>0</v>
      </c>
      <c r="P303" s="208">
        <v>1.1140000000000001</v>
      </c>
      <c r="Q303" s="218" t="s">
        <v>147</v>
      </c>
      <c r="R303" s="218" t="s">
        <v>147</v>
      </c>
      <c r="S303" s="208">
        <v>0</v>
      </c>
      <c r="T303" s="208">
        <v>1</v>
      </c>
      <c r="U303" s="280" t="s">
        <v>2681</v>
      </c>
    </row>
    <row r="304" spans="1:21" x14ac:dyDescent="0.25">
      <c r="A304" s="211" t="s">
        <v>2689</v>
      </c>
      <c r="B304" s="209" t="s">
        <v>2679</v>
      </c>
      <c r="C304" s="209" t="s">
        <v>2690</v>
      </c>
      <c r="D304" s="209" t="s">
        <v>461</v>
      </c>
      <c r="E304" s="209" t="s">
        <v>1914</v>
      </c>
      <c r="F304" s="208">
        <v>3.0999999999999999E-3</v>
      </c>
      <c r="G304" s="208">
        <v>3.47</v>
      </c>
      <c r="H304" s="209" t="s">
        <v>1916</v>
      </c>
      <c r="I304" s="209" t="s">
        <v>182</v>
      </c>
      <c r="J304" s="209" t="s">
        <v>2538</v>
      </c>
      <c r="K304" s="212" t="s">
        <v>2798</v>
      </c>
      <c r="L304" s="209"/>
      <c r="M304" s="208">
        <v>0</v>
      </c>
      <c r="N304" s="208">
        <v>1</v>
      </c>
      <c r="O304" s="208">
        <v>0</v>
      </c>
      <c r="P304" s="208">
        <v>1.1140000000000001</v>
      </c>
      <c r="Q304" s="218" t="s">
        <v>147</v>
      </c>
      <c r="R304" s="218" t="s">
        <v>147</v>
      </c>
      <c r="S304" s="208">
        <v>0</v>
      </c>
      <c r="T304" s="208">
        <v>1</v>
      </c>
      <c r="U304" s="280" t="s">
        <v>2681</v>
      </c>
    </row>
    <row r="305" spans="1:21" x14ac:dyDescent="0.25">
      <c r="A305" s="211" t="s">
        <v>2685</v>
      </c>
      <c r="B305" s="209" t="s">
        <v>2679</v>
      </c>
      <c r="C305" s="209" t="s">
        <v>1911</v>
      </c>
      <c r="D305" s="209" t="s">
        <v>461</v>
      </c>
      <c r="E305" s="209" t="s">
        <v>1914</v>
      </c>
      <c r="F305" s="208">
        <v>3.0999999999999999E-3</v>
      </c>
      <c r="G305" s="208">
        <v>3.47</v>
      </c>
      <c r="H305" s="209" t="s">
        <v>1916</v>
      </c>
      <c r="I305" s="209" t="s">
        <v>182</v>
      </c>
      <c r="J305" s="209" t="s">
        <v>2538</v>
      </c>
      <c r="K305" s="212" t="s">
        <v>2798</v>
      </c>
      <c r="L305" s="209"/>
      <c r="M305" s="208">
        <v>0</v>
      </c>
      <c r="N305" s="208">
        <v>1</v>
      </c>
      <c r="O305" s="208">
        <v>0</v>
      </c>
      <c r="P305" s="208">
        <v>1.1140000000000001</v>
      </c>
      <c r="Q305" s="218" t="s">
        <v>147</v>
      </c>
      <c r="R305" s="218" t="s">
        <v>147</v>
      </c>
      <c r="S305" s="208">
        <v>0</v>
      </c>
      <c r="T305" s="208">
        <v>1</v>
      </c>
      <c r="U305" s="280" t="s">
        <v>2681</v>
      </c>
    </row>
    <row r="306" spans="1:21" x14ac:dyDescent="0.25">
      <c r="A306" s="211" t="s">
        <v>1073</v>
      </c>
      <c r="B306" s="209" t="s">
        <v>2679</v>
      </c>
      <c r="C306" s="209" t="s">
        <v>2688</v>
      </c>
      <c r="D306" s="209" t="s">
        <v>461</v>
      </c>
      <c r="E306" s="209" t="s">
        <v>1914</v>
      </c>
      <c r="F306" s="208">
        <v>3.0999999999999999E-3</v>
      </c>
      <c r="G306" s="208">
        <v>3.47</v>
      </c>
      <c r="H306" s="209" t="s">
        <v>1916</v>
      </c>
      <c r="I306" s="209" t="s">
        <v>182</v>
      </c>
      <c r="J306" s="209" t="s">
        <v>2538</v>
      </c>
      <c r="K306" s="212" t="s">
        <v>2798</v>
      </c>
      <c r="L306" s="209"/>
      <c r="M306" s="208">
        <v>0</v>
      </c>
      <c r="N306" s="208">
        <v>1</v>
      </c>
      <c r="O306" s="208">
        <v>0</v>
      </c>
      <c r="P306" s="208">
        <v>1.1140000000000001</v>
      </c>
      <c r="Q306" s="218" t="s">
        <v>147</v>
      </c>
      <c r="R306" s="218" t="s">
        <v>147</v>
      </c>
      <c r="S306" s="208">
        <v>0</v>
      </c>
      <c r="T306" s="208">
        <v>1</v>
      </c>
      <c r="U306" s="280" t="s">
        <v>2681</v>
      </c>
    </row>
    <row r="307" spans="1:21" x14ac:dyDescent="0.25">
      <c r="A307" s="211" t="s">
        <v>2686</v>
      </c>
      <c r="B307" s="209" t="s">
        <v>2679</v>
      </c>
      <c r="C307" s="209" t="s">
        <v>2687</v>
      </c>
      <c r="D307" s="209" t="s">
        <v>461</v>
      </c>
      <c r="E307" s="209" t="s">
        <v>1914</v>
      </c>
      <c r="F307" s="208">
        <v>3.0999999999999999E-3</v>
      </c>
      <c r="G307" s="208">
        <v>3.47</v>
      </c>
      <c r="H307" s="209" t="s">
        <v>1916</v>
      </c>
      <c r="I307" s="209" t="s">
        <v>182</v>
      </c>
      <c r="J307" s="209" t="s">
        <v>2538</v>
      </c>
      <c r="K307" s="212" t="s">
        <v>2798</v>
      </c>
      <c r="L307" s="209"/>
      <c r="M307" s="208">
        <v>0</v>
      </c>
      <c r="N307" s="208">
        <v>1</v>
      </c>
      <c r="O307" s="208">
        <v>0</v>
      </c>
      <c r="P307" s="208">
        <v>1.1140000000000001</v>
      </c>
      <c r="Q307" s="218" t="s">
        <v>147</v>
      </c>
      <c r="R307" s="218" t="s">
        <v>147</v>
      </c>
      <c r="S307" s="208">
        <v>0</v>
      </c>
      <c r="T307" s="208">
        <v>1</v>
      </c>
      <c r="U307" s="280" t="s">
        <v>2681</v>
      </c>
    </row>
    <row r="308" spans="1:21" x14ac:dyDescent="0.25">
      <c r="A308" s="209" t="s">
        <v>2239</v>
      </c>
      <c r="B308" s="209" t="s">
        <v>2240</v>
      </c>
      <c r="C308" s="209" t="s">
        <v>2241</v>
      </c>
      <c r="D308" s="209" t="s">
        <v>461</v>
      </c>
      <c r="E308" s="209" t="s">
        <v>1914</v>
      </c>
      <c r="F308" s="208">
        <v>5.3377777777777781E-3</v>
      </c>
      <c r="G308" s="208">
        <v>3.1249111111111123</v>
      </c>
      <c r="H308" s="209" t="s">
        <v>1916</v>
      </c>
      <c r="I308" s="209" t="s">
        <v>182</v>
      </c>
      <c r="J308" s="209" t="s">
        <v>1924</v>
      </c>
      <c r="K308" s="212" t="s">
        <v>2798</v>
      </c>
      <c r="L308" s="209"/>
      <c r="M308" s="208">
        <v>0</v>
      </c>
      <c r="N308" s="208">
        <v>1</v>
      </c>
      <c r="O308" s="208">
        <v>0</v>
      </c>
      <c r="P308" s="208">
        <v>1.0111223458038423</v>
      </c>
      <c r="Q308" s="208">
        <v>0</v>
      </c>
      <c r="R308" s="208">
        <v>0.98899999999999999</v>
      </c>
      <c r="S308" s="208">
        <v>0</v>
      </c>
      <c r="T308" s="208">
        <v>1</v>
      </c>
      <c r="U308" s="280" t="s">
        <v>2242</v>
      </c>
    </row>
    <row r="309" spans="1:21" x14ac:dyDescent="0.25">
      <c r="A309" s="211" t="s">
        <v>2251</v>
      </c>
      <c r="B309" s="209" t="s">
        <v>2240</v>
      </c>
      <c r="C309" s="209" t="s">
        <v>2252</v>
      </c>
      <c r="D309" s="209" t="s">
        <v>461</v>
      </c>
      <c r="E309" s="209" t="s">
        <v>1914</v>
      </c>
      <c r="F309" s="208">
        <v>5.3377777777777781E-3</v>
      </c>
      <c r="G309" s="208">
        <v>3.1249111111111123</v>
      </c>
      <c r="H309" s="209" t="s">
        <v>1916</v>
      </c>
      <c r="I309" s="209" t="s">
        <v>182</v>
      </c>
      <c r="J309" s="209" t="s">
        <v>1924</v>
      </c>
      <c r="K309" s="212" t="s">
        <v>2798</v>
      </c>
      <c r="L309" s="209"/>
      <c r="M309" s="208">
        <v>0</v>
      </c>
      <c r="N309" s="208">
        <v>1</v>
      </c>
      <c r="O309" s="208">
        <v>0</v>
      </c>
      <c r="P309" s="208">
        <v>1.0111223458038423</v>
      </c>
      <c r="Q309" s="208">
        <v>0</v>
      </c>
      <c r="R309" s="208">
        <v>0.98899999999999999</v>
      </c>
      <c r="S309" s="208">
        <v>0</v>
      </c>
      <c r="T309" s="208">
        <v>1</v>
      </c>
      <c r="U309" s="280" t="s">
        <v>2242</v>
      </c>
    </row>
    <row r="310" spans="1:21" x14ac:dyDescent="0.25">
      <c r="A310" s="211" t="s">
        <v>2234</v>
      </c>
      <c r="B310" s="209" t="s">
        <v>2235</v>
      </c>
      <c r="C310" s="209" t="s">
        <v>2236</v>
      </c>
      <c r="D310" s="209" t="s">
        <v>461</v>
      </c>
      <c r="E310" s="209" t="s">
        <v>1914</v>
      </c>
      <c r="F310" s="208">
        <v>5.1375342465753444E-3</v>
      </c>
      <c r="G310" s="208">
        <v>3.1080301369863021</v>
      </c>
      <c r="H310" s="209" t="s">
        <v>1916</v>
      </c>
      <c r="I310" s="209" t="s">
        <v>182</v>
      </c>
      <c r="J310" s="209" t="s">
        <v>1924</v>
      </c>
      <c r="K310" s="212" t="s">
        <v>2798</v>
      </c>
      <c r="L310" s="209"/>
      <c r="M310" s="208">
        <v>0</v>
      </c>
      <c r="N310" s="208">
        <v>1.0111223458038423</v>
      </c>
      <c r="O310" s="208">
        <v>0</v>
      </c>
      <c r="P310" s="208">
        <v>1.1198208286674132</v>
      </c>
      <c r="Q310" s="208">
        <v>0</v>
      </c>
      <c r="R310" s="208">
        <v>0.89300000000000002</v>
      </c>
      <c r="S310" s="208">
        <v>0</v>
      </c>
      <c r="T310" s="208">
        <v>0.98899999999999999</v>
      </c>
      <c r="U310" s="280" t="s">
        <v>2237</v>
      </c>
    </row>
    <row r="311" spans="1:21" x14ac:dyDescent="0.25">
      <c r="A311" s="211" t="s">
        <v>1608</v>
      </c>
      <c r="B311" s="209" t="s">
        <v>2536</v>
      </c>
      <c r="C311" s="209" t="s">
        <v>2537</v>
      </c>
      <c r="D311" s="209" t="s">
        <v>461</v>
      </c>
      <c r="E311" s="209" t="s">
        <v>1914</v>
      </c>
      <c r="F311" s="208">
        <v>5.0600000000000003E-3</v>
      </c>
      <c r="G311" s="208">
        <v>3.3340000000000001</v>
      </c>
      <c r="H311" s="209" t="s">
        <v>1916</v>
      </c>
      <c r="I311" s="209" t="s">
        <v>182</v>
      </c>
      <c r="J311" s="209" t="s">
        <v>2538</v>
      </c>
      <c r="K311" s="212" t="s">
        <v>2798</v>
      </c>
      <c r="L311" s="209" t="s">
        <v>2789</v>
      </c>
      <c r="M311" s="208">
        <v>0</v>
      </c>
      <c r="N311" s="208">
        <v>1.145</v>
      </c>
      <c r="O311" s="208">
        <v>0</v>
      </c>
      <c r="P311" s="208">
        <v>1.198</v>
      </c>
      <c r="Q311" s="208">
        <v>0</v>
      </c>
      <c r="R311" s="208">
        <v>0.8347245409015025</v>
      </c>
      <c r="S311" s="208">
        <v>0</v>
      </c>
      <c r="T311" s="208">
        <v>0.8733624454148472</v>
      </c>
      <c r="U311" s="280" t="s">
        <v>2539</v>
      </c>
    </row>
    <row r="312" spans="1:21" x14ac:dyDescent="0.25">
      <c r="A312" s="211" t="s">
        <v>1610</v>
      </c>
      <c r="B312" s="209" t="s">
        <v>2536</v>
      </c>
      <c r="C312" s="209" t="s">
        <v>2540</v>
      </c>
      <c r="D312" s="209" t="s">
        <v>461</v>
      </c>
      <c r="E312" s="209" t="s">
        <v>1914</v>
      </c>
      <c r="F312" s="208">
        <v>5.0600000000000003E-3</v>
      </c>
      <c r="G312" s="208">
        <v>3.3340000000000001</v>
      </c>
      <c r="H312" s="209" t="s">
        <v>1916</v>
      </c>
      <c r="I312" s="209" t="s">
        <v>182</v>
      </c>
      <c r="J312" s="209" t="s">
        <v>2538</v>
      </c>
      <c r="K312" s="212" t="s">
        <v>2798</v>
      </c>
      <c r="L312" s="209" t="s">
        <v>2789</v>
      </c>
      <c r="M312" s="208">
        <v>0</v>
      </c>
      <c r="N312" s="208">
        <v>1.145</v>
      </c>
      <c r="O312" s="208">
        <v>0</v>
      </c>
      <c r="P312" s="208">
        <v>1.198</v>
      </c>
      <c r="Q312" s="208">
        <v>0</v>
      </c>
      <c r="R312" s="208">
        <v>0.8347245409015025</v>
      </c>
      <c r="S312" s="208">
        <v>0</v>
      </c>
      <c r="T312" s="208">
        <v>0.8733624454148472</v>
      </c>
      <c r="U312" s="280" t="s">
        <v>2539</v>
      </c>
    </row>
    <row r="313" spans="1:21" x14ac:dyDescent="0.25">
      <c r="A313" s="211" t="s">
        <v>2302</v>
      </c>
      <c r="B313" s="209" t="s">
        <v>2282</v>
      </c>
      <c r="C313" s="209" t="s">
        <v>1911</v>
      </c>
      <c r="D313" s="209" t="s">
        <v>450</v>
      </c>
      <c r="E313" s="209" t="s">
        <v>1914</v>
      </c>
      <c r="F313" s="208">
        <v>1.8813239436619712E-2</v>
      </c>
      <c r="G313" s="208">
        <v>3.0291915492957733</v>
      </c>
      <c r="H313" s="209" t="s">
        <v>1916</v>
      </c>
      <c r="I313" s="209" t="s">
        <v>182</v>
      </c>
      <c r="J313" s="209" t="s">
        <v>1924</v>
      </c>
      <c r="K313" s="212" t="s">
        <v>2798</v>
      </c>
      <c r="L313" s="209" t="s">
        <v>1911</v>
      </c>
      <c r="M313" s="208">
        <v>0</v>
      </c>
      <c r="N313" s="208">
        <v>1</v>
      </c>
      <c r="O313" s="208">
        <v>0</v>
      </c>
      <c r="P313" s="208">
        <v>1.2690355329949239</v>
      </c>
      <c r="Q313" s="208">
        <v>0</v>
      </c>
      <c r="R313" s="208">
        <v>0.78800000000000003</v>
      </c>
      <c r="S313" s="208">
        <v>0</v>
      </c>
      <c r="T313" s="208">
        <v>1</v>
      </c>
      <c r="U313" s="280" t="s">
        <v>2283</v>
      </c>
    </row>
    <row r="314" spans="1:21" x14ac:dyDescent="0.25">
      <c r="A314" s="211" t="s">
        <v>1197</v>
      </c>
      <c r="B314" s="209" t="s">
        <v>2282</v>
      </c>
      <c r="C314" s="209" t="s">
        <v>2303</v>
      </c>
      <c r="D314" s="209" t="s">
        <v>450</v>
      </c>
      <c r="E314" s="209" t="s">
        <v>1914</v>
      </c>
      <c r="F314" s="208">
        <v>1.8813239436619712E-2</v>
      </c>
      <c r="G314" s="208">
        <v>3.0291915492957733</v>
      </c>
      <c r="H314" s="209" t="s">
        <v>1916</v>
      </c>
      <c r="I314" s="209" t="s">
        <v>182</v>
      </c>
      <c r="J314" s="209" t="s">
        <v>1924</v>
      </c>
      <c r="K314" s="212" t="s">
        <v>2798</v>
      </c>
      <c r="L314" s="209" t="s">
        <v>1911</v>
      </c>
      <c r="M314" s="208">
        <v>0</v>
      </c>
      <c r="N314" s="208">
        <v>1</v>
      </c>
      <c r="O314" s="208">
        <v>0</v>
      </c>
      <c r="P314" s="208">
        <v>1.2690355329949239</v>
      </c>
      <c r="Q314" s="208">
        <v>0</v>
      </c>
      <c r="R314" s="208">
        <v>0.78800000000000003</v>
      </c>
      <c r="S314" s="208">
        <v>0</v>
      </c>
      <c r="T314" s="208">
        <v>1</v>
      </c>
      <c r="U314" s="280" t="s">
        <v>2283</v>
      </c>
    </row>
    <row r="315" spans="1:21" x14ac:dyDescent="0.25">
      <c r="A315" s="211" t="s">
        <v>2250</v>
      </c>
      <c r="B315" s="209" t="s">
        <v>2240</v>
      </c>
      <c r="C315" s="209" t="s">
        <v>1911</v>
      </c>
      <c r="D315" s="209" t="s">
        <v>461</v>
      </c>
      <c r="E315" s="209" t="s">
        <v>1914</v>
      </c>
      <c r="F315" s="208">
        <v>5.3377777777777781E-3</v>
      </c>
      <c r="G315" s="208">
        <v>3.1249111111111123</v>
      </c>
      <c r="H315" s="209" t="s">
        <v>1916</v>
      </c>
      <c r="I315" s="209" t="s">
        <v>182</v>
      </c>
      <c r="J315" s="209" t="s">
        <v>1924</v>
      </c>
      <c r="K315" s="212" t="s">
        <v>2798</v>
      </c>
      <c r="L315" s="209" t="s">
        <v>1911</v>
      </c>
      <c r="M315" s="208">
        <v>0</v>
      </c>
      <c r="N315" s="208">
        <v>1</v>
      </c>
      <c r="O315" s="208">
        <v>0</v>
      </c>
      <c r="P315" s="208">
        <v>1.0111223458038423</v>
      </c>
      <c r="Q315" s="208">
        <v>0</v>
      </c>
      <c r="R315" s="208">
        <v>0.98899999999999999</v>
      </c>
      <c r="S315" s="208">
        <v>0</v>
      </c>
      <c r="T315" s="208">
        <v>1</v>
      </c>
      <c r="U315" s="280" t="s">
        <v>2242</v>
      </c>
    </row>
    <row r="316" spans="1:21" x14ac:dyDescent="0.25">
      <c r="A316" s="211" t="s">
        <v>1604</v>
      </c>
      <c r="B316" s="209" t="s">
        <v>2491</v>
      </c>
      <c r="C316" s="209" t="s">
        <v>2516</v>
      </c>
      <c r="D316" s="209" t="s">
        <v>461</v>
      </c>
      <c r="E316" s="209" t="s">
        <v>1914</v>
      </c>
      <c r="F316" s="208">
        <v>1.4421613E-2</v>
      </c>
      <c r="G316" s="208">
        <v>3.0684109679999998</v>
      </c>
      <c r="H316" s="209" t="s">
        <v>1916</v>
      </c>
      <c r="I316" s="209" t="s">
        <v>182</v>
      </c>
      <c r="J316" s="209" t="s">
        <v>1924</v>
      </c>
      <c r="K316" s="212" t="s">
        <v>2798</v>
      </c>
      <c r="L316" s="209" t="s">
        <v>1911</v>
      </c>
      <c r="M316" s="208">
        <v>0</v>
      </c>
      <c r="N316" s="208">
        <v>1</v>
      </c>
      <c r="O316" s="208">
        <v>0</v>
      </c>
      <c r="P316" s="208">
        <v>1.2180267965895251</v>
      </c>
      <c r="Q316" s="208">
        <v>0</v>
      </c>
      <c r="R316" s="208">
        <v>0.82099999999999995</v>
      </c>
      <c r="S316" s="208">
        <v>0</v>
      </c>
      <c r="T316" s="208">
        <v>1</v>
      </c>
      <c r="U316" s="280" t="s">
        <v>2493</v>
      </c>
    </row>
    <row r="317" spans="1:21" x14ac:dyDescent="0.25">
      <c r="A317" s="211" t="s">
        <v>2701</v>
      </c>
      <c r="B317" s="209" t="s">
        <v>2702</v>
      </c>
      <c r="C317" s="209" t="s">
        <v>1911</v>
      </c>
      <c r="D317" s="209" t="s">
        <v>461</v>
      </c>
      <c r="E317" s="209" t="s">
        <v>1914</v>
      </c>
      <c r="F317" s="208">
        <v>1.54E-2</v>
      </c>
      <c r="G317" s="208">
        <v>3.0630000000000002</v>
      </c>
      <c r="H317" s="209" t="s">
        <v>1923</v>
      </c>
      <c r="I317" s="209" t="s">
        <v>182</v>
      </c>
      <c r="J317" s="209" t="s">
        <v>2538</v>
      </c>
      <c r="K317" s="212" t="s">
        <v>2798</v>
      </c>
      <c r="L317" s="209" t="s">
        <v>2788</v>
      </c>
      <c r="M317" s="208">
        <v>0</v>
      </c>
      <c r="N317" s="208">
        <v>1</v>
      </c>
      <c r="O317" s="218" t="s">
        <v>147</v>
      </c>
      <c r="P317" s="218" t="s">
        <v>147</v>
      </c>
      <c r="Q317" s="218" t="s">
        <v>147</v>
      </c>
      <c r="R317" s="218" t="s">
        <v>147</v>
      </c>
      <c r="S317" s="208">
        <v>0</v>
      </c>
      <c r="T317" s="208">
        <v>1</v>
      </c>
      <c r="U317" s="280" t="s">
        <v>2703</v>
      </c>
    </row>
    <row r="318" spans="1:21" x14ac:dyDescent="0.25">
      <c r="A318" s="211" t="s">
        <v>2714</v>
      </c>
      <c r="B318" s="209" t="s">
        <v>2702</v>
      </c>
      <c r="C318" s="209" t="s">
        <v>2715</v>
      </c>
      <c r="D318" s="209" t="s">
        <v>461</v>
      </c>
      <c r="E318" s="209" t="s">
        <v>1914</v>
      </c>
      <c r="F318" s="208">
        <v>1.54E-2</v>
      </c>
      <c r="G318" s="208">
        <v>3.0630000000000002</v>
      </c>
      <c r="H318" s="209" t="s">
        <v>1923</v>
      </c>
      <c r="I318" s="209" t="s">
        <v>182</v>
      </c>
      <c r="J318" s="209" t="s">
        <v>2538</v>
      </c>
      <c r="K318" s="212" t="s">
        <v>2798</v>
      </c>
      <c r="L318" s="209" t="s">
        <v>2788</v>
      </c>
      <c r="M318" s="208">
        <v>0</v>
      </c>
      <c r="N318" s="208">
        <v>1</v>
      </c>
      <c r="O318" s="218" t="s">
        <v>147</v>
      </c>
      <c r="P318" s="218" t="s">
        <v>147</v>
      </c>
      <c r="Q318" s="218" t="s">
        <v>147</v>
      </c>
      <c r="R318" s="218" t="s">
        <v>147</v>
      </c>
      <c r="S318" s="208">
        <v>0</v>
      </c>
      <c r="T318" s="208">
        <v>1</v>
      </c>
      <c r="U318" s="280" t="s">
        <v>2703</v>
      </c>
    </row>
    <row r="319" spans="1:21" x14ac:dyDescent="0.25">
      <c r="A319" s="211" t="s">
        <v>2707</v>
      </c>
      <c r="B319" s="209" t="s">
        <v>2702</v>
      </c>
      <c r="C319" s="209" t="s">
        <v>2708</v>
      </c>
      <c r="D319" s="209" t="s">
        <v>461</v>
      </c>
      <c r="E319" s="209" t="s">
        <v>1914</v>
      </c>
      <c r="F319" s="208">
        <v>1.54E-2</v>
      </c>
      <c r="G319" s="208">
        <v>3.0630000000000002</v>
      </c>
      <c r="H319" s="209" t="s">
        <v>1923</v>
      </c>
      <c r="I319" s="209" t="s">
        <v>182</v>
      </c>
      <c r="J319" s="209" t="s">
        <v>2538</v>
      </c>
      <c r="K319" s="212" t="s">
        <v>2798</v>
      </c>
      <c r="L319" s="209" t="s">
        <v>2788</v>
      </c>
      <c r="M319" s="208">
        <v>0</v>
      </c>
      <c r="N319" s="208">
        <v>1</v>
      </c>
      <c r="O319" s="218" t="s">
        <v>147</v>
      </c>
      <c r="P319" s="218" t="s">
        <v>147</v>
      </c>
      <c r="Q319" s="218" t="s">
        <v>147</v>
      </c>
      <c r="R319" s="218" t="s">
        <v>147</v>
      </c>
      <c r="S319" s="208">
        <v>0</v>
      </c>
      <c r="T319" s="208">
        <v>1</v>
      </c>
      <c r="U319" s="280" t="s">
        <v>2703</v>
      </c>
    </row>
    <row r="320" spans="1:21" x14ac:dyDescent="0.25">
      <c r="A320" s="211" t="s">
        <v>2705</v>
      </c>
      <c r="B320" s="209" t="s">
        <v>2702</v>
      </c>
      <c r="C320" s="209" t="s">
        <v>2706</v>
      </c>
      <c r="D320" s="209" t="s">
        <v>461</v>
      </c>
      <c r="E320" s="209" t="s">
        <v>1914</v>
      </c>
      <c r="F320" s="208">
        <v>1.54E-2</v>
      </c>
      <c r="G320" s="208">
        <v>3.0630000000000002</v>
      </c>
      <c r="H320" s="209" t="s">
        <v>1923</v>
      </c>
      <c r="I320" s="209" t="s">
        <v>182</v>
      </c>
      <c r="J320" s="209" t="s">
        <v>2538</v>
      </c>
      <c r="K320" s="212" t="s">
        <v>2798</v>
      </c>
      <c r="L320" s="209"/>
      <c r="M320" s="208">
        <v>0</v>
      </c>
      <c r="N320" s="208">
        <v>1</v>
      </c>
      <c r="O320" s="218" t="s">
        <v>147</v>
      </c>
      <c r="P320" s="218" t="s">
        <v>147</v>
      </c>
      <c r="Q320" s="218" t="s">
        <v>147</v>
      </c>
      <c r="R320" s="218" t="s">
        <v>147</v>
      </c>
      <c r="S320" s="208">
        <v>0</v>
      </c>
      <c r="T320" s="208">
        <v>1</v>
      </c>
      <c r="U320" s="280" t="s">
        <v>2703</v>
      </c>
    </row>
    <row r="321" spans="1:21" x14ac:dyDescent="0.25">
      <c r="A321" s="211" t="s">
        <v>2709</v>
      </c>
      <c r="B321" s="209" t="s">
        <v>2702</v>
      </c>
      <c r="C321" s="209" t="s">
        <v>2710</v>
      </c>
      <c r="D321" s="209" t="s">
        <v>461</v>
      </c>
      <c r="E321" s="209" t="s">
        <v>1914</v>
      </c>
      <c r="F321" s="208">
        <v>1.54E-2</v>
      </c>
      <c r="G321" s="208">
        <v>3.0630000000000002</v>
      </c>
      <c r="H321" s="209" t="s">
        <v>1923</v>
      </c>
      <c r="I321" s="209" t="s">
        <v>182</v>
      </c>
      <c r="J321" s="209" t="s">
        <v>2538</v>
      </c>
      <c r="K321" s="212" t="s">
        <v>2798</v>
      </c>
      <c r="L321" s="209" t="s">
        <v>2788</v>
      </c>
      <c r="M321" s="208">
        <v>0</v>
      </c>
      <c r="N321" s="208">
        <v>1</v>
      </c>
      <c r="O321" s="218" t="s">
        <v>147</v>
      </c>
      <c r="P321" s="218" t="s">
        <v>147</v>
      </c>
      <c r="Q321" s="218" t="s">
        <v>147</v>
      </c>
      <c r="R321" s="218" t="s">
        <v>147</v>
      </c>
      <c r="S321" s="208">
        <v>0</v>
      </c>
      <c r="T321" s="208">
        <v>1</v>
      </c>
      <c r="U321" s="280" t="s">
        <v>2703</v>
      </c>
    </row>
    <row r="322" spans="1:21" x14ac:dyDescent="0.25">
      <c r="A322" s="211" t="s">
        <v>2711</v>
      </c>
      <c r="B322" s="209" t="s">
        <v>2702</v>
      </c>
      <c r="C322" s="209" t="s">
        <v>2712</v>
      </c>
      <c r="D322" s="209" t="s">
        <v>461</v>
      </c>
      <c r="E322" s="209" t="s">
        <v>1914</v>
      </c>
      <c r="F322" s="208">
        <v>1.54E-2</v>
      </c>
      <c r="G322" s="208">
        <v>3.0630000000000002</v>
      </c>
      <c r="H322" s="209" t="s">
        <v>1923</v>
      </c>
      <c r="I322" s="209" t="s">
        <v>182</v>
      </c>
      <c r="J322" s="209" t="s">
        <v>2538</v>
      </c>
      <c r="K322" s="212" t="s">
        <v>2798</v>
      </c>
      <c r="L322" s="209" t="s">
        <v>2788</v>
      </c>
      <c r="M322" s="208">
        <v>0</v>
      </c>
      <c r="N322" s="208">
        <v>1</v>
      </c>
      <c r="O322" s="218" t="s">
        <v>147</v>
      </c>
      <c r="P322" s="218" t="s">
        <v>147</v>
      </c>
      <c r="Q322" s="218" t="s">
        <v>147</v>
      </c>
      <c r="R322" s="218" t="s">
        <v>147</v>
      </c>
      <c r="S322" s="208">
        <v>0</v>
      </c>
      <c r="T322" s="208">
        <v>1</v>
      </c>
      <c r="U322" s="280" t="s">
        <v>2703</v>
      </c>
    </row>
    <row r="323" spans="1:21" x14ac:dyDescent="0.25">
      <c r="A323" s="211" t="s">
        <v>2704</v>
      </c>
      <c r="B323" s="209" t="s">
        <v>2702</v>
      </c>
      <c r="C323" s="209" t="s">
        <v>1911</v>
      </c>
      <c r="D323" s="209" t="s">
        <v>461</v>
      </c>
      <c r="E323" s="209" t="s">
        <v>1914</v>
      </c>
      <c r="F323" s="208">
        <v>1.54E-2</v>
      </c>
      <c r="G323" s="208">
        <v>3.0630000000000002</v>
      </c>
      <c r="H323" s="209" t="s">
        <v>1923</v>
      </c>
      <c r="I323" s="209" t="s">
        <v>182</v>
      </c>
      <c r="J323" s="209" t="s">
        <v>2538</v>
      </c>
      <c r="K323" s="212" t="s">
        <v>2798</v>
      </c>
      <c r="L323" s="209" t="s">
        <v>2788</v>
      </c>
      <c r="M323" s="208">
        <v>0</v>
      </c>
      <c r="N323" s="208">
        <v>1</v>
      </c>
      <c r="O323" s="218" t="s">
        <v>147</v>
      </c>
      <c r="P323" s="218" t="s">
        <v>147</v>
      </c>
      <c r="Q323" s="218" t="s">
        <v>147</v>
      </c>
      <c r="R323" s="218" t="s">
        <v>147</v>
      </c>
      <c r="S323" s="208">
        <v>0</v>
      </c>
      <c r="T323" s="208">
        <v>1</v>
      </c>
      <c r="U323" s="280" t="s">
        <v>2703</v>
      </c>
    </row>
    <row r="324" spans="1:21" x14ac:dyDescent="0.25">
      <c r="A324" s="211" t="s">
        <v>1079</v>
      </c>
      <c r="B324" s="209" t="s">
        <v>2702</v>
      </c>
      <c r="C324" s="209" t="s">
        <v>2713</v>
      </c>
      <c r="D324" s="209" t="s">
        <v>461</v>
      </c>
      <c r="E324" s="209" t="s">
        <v>1914</v>
      </c>
      <c r="F324" s="208">
        <v>1.54E-2</v>
      </c>
      <c r="G324" s="208">
        <v>3.0630000000000002</v>
      </c>
      <c r="H324" s="209" t="s">
        <v>1923</v>
      </c>
      <c r="I324" s="209" t="s">
        <v>182</v>
      </c>
      <c r="J324" s="209" t="s">
        <v>1917</v>
      </c>
      <c r="K324" s="212" t="s">
        <v>2798</v>
      </c>
      <c r="L324" s="209"/>
      <c r="M324" s="208">
        <v>0</v>
      </c>
      <c r="N324" s="208">
        <v>1</v>
      </c>
      <c r="O324" s="218" t="s">
        <v>147</v>
      </c>
      <c r="P324" s="218" t="s">
        <v>147</v>
      </c>
      <c r="Q324" s="218" t="s">
        <v>147</v>
      </c>
      <c r="R324" s="218" t="s">
        <v>147</v>
      </c>
      <c r="S324" s="208">
        <v>0</v>
      </c>
      <c r="T324" s="208">
        <v>1</v>
      </c>
      <c r="U324" s="280" t="s">
        <v>2703</v>
      </c>
    </row>
    <row r="325" spans="1:21" x14ac:dyDescent="0.25">
      <c r="A325" s="209" t="s">
        <v>1119</v>
      </c>
      <c r="B325" s="209" t="s">
        <v>2578</v>
      </c>
      <c r="C325" s="209" t="s">
        <v>2579</v>
      </c>
      <c r="D325" s="209" t="s">
        <v>461</v>
      </c>
      <c r="E325" s="209" t="s">
        <v>1914</v>
      </c>
      <c r="F325" s="208">
        <v>4.1466666666666666E-3</v>
      </c>
      <c r="G325" s="208">
        <v>3.2699999999999996</v>
      </c>
      <c r="H325" s="209" t="s">
        <v>1916</v>
      </c>
      <c r="I325" s="209" t="s">
        <v>182</v>
      </c>
      <c r="J325" s="209" t="s">
        <v>1924</v>
      </c>
      <c r="K325" s="212" t="s">
        <v>2798</v>
      </c>
      <c r="L325" s="209"/>
      <c r="M325" s="208">
        <v>0</v>
      </c>
      <c r="N325" s="208">
        <v>1</v>
      </c>
      <c r="O325" s="218" t="s">
        <v>147</v>
      </c>
      <c r="P325" s="218" t="s">
        <v>147</v>
      </c>
      <c r="Q325" s="218" t="s">
        <v>147</v>
      </c>
      <c r="R325" s="218" t="s">
        <v>147</v>
      </c>
      <c r="S325" s="208">
        <v>0</v>
      </c>
      <c r="T325" s="208">
        <v>1</v>
      </c>
      <c r="U325" s="280" t="s">
        <v>2580</v>
      </c>
    </row>
    <row r="326" spans="1:21" x14ac:dyDescent="0.25">
      <c r="A326" s="211" t="s">
        <v>2586</v>
      </c>
      <c r="B326" s="209" t="s">
        <v>2578</v>
      </c>
      <c r="C326" s="209" t="s">
        <v>2587</v>
      </c>
      <c r="D326" s="209" t="s">
        <v>461</v>
      </c>
      <c r="E326" s="209" t="s">
        <v>1914</v>
      </c>
      <c r="F326" s="208">
        <v>4.1466669999999997E-3</v>
      </c>
      <c r="G326" s="208">
        <v>3.27</v>
      </c>
      <c r="H326" s="209" t="s">
        <v>1916</v>
      </c>
      <c r="I326" s="209" t="s">
        <v>182</v>
      </c>
      <c r="J326" s="209" t="s">
        <v>1924</v>
      </c>
      <c r="K326" s="212" t="s">
        <v>2798</v>
      </c>
      <c r="L326" s="209"/>
      <c r="M326" s="208">
        <v>0</v>
      </c>
      <c r="N326" s="208">
        <v>1</v>
      </c>
      <c r="O326" s="218" t="s">
        <v>147</v>
      </c>
      <c r="P326" s="218" t="s">
        <v>147</v>
      </c>
      <c r="Q326" s="218" t="s">
        <v>147</v>
      </c>
      <c r="R326" s="218" t="s">
        <v>147</v>
      </c>
      <c r="S326" s="208">
        <v>0</v>
      </c>
      <c r="T326" s="208">
        <v>1</v>
      </c>
      <c r="U326" s="280" t="s">
        <v>2580</v>
      </c>
    </row>
    <row r="327" spans="1:21" x14ac:dyDescent="0.25">
      <c r="A327" s="211" t="s">
        <v>2588</v>
      </c>
      <c r="B327" s="209" t="s">
        <v>2578</v>
      </c>
      <c r="C327" s="209" t="s">
        <v>2589</v>
      </c>
      <c r="D327" s="209" t="s">
        <v>461</v>
      </c>
      <c r="E327" s="209" t="s">
        <v>1914</v>
      </c>
      <c r="F327" s="208">
        <v>4.1466669999999997E-3</v>
      </c>
      <c r="G327" s="208">
        <v>3.27</v>
      </c>
      <c r="H327" s="209" t="s">
        <v>1916</v>
      </c>
      <c r="I327" s="209" t="s">
        <v>182</v>
      </c>
      <c r="J327" s="209" t="s">
        <v>1924</v>
      </c>
      <c r="K327" s="212" t="s">
        <v>2798</v>
      </c>
      <c r="L327" s="209"/>
      <c r="M327" s="208">
        <v>0</v>
      </c>
      <c r="N327" s="208">
        <v>1</v>
      </c>
      <c r="O327" s="218" t="s">
        <v>147</v>
      </c>
      <c r="P327" s="218" t="s">
        <v>147</v>
      </c>
      <c r="Q327" s="218" t="s">
        <v>147</v>
      </c>
      <c r="R327" s="218" t="s">
        <v>147</v>
      </c>
      <c r="S327" s="208">
        <v>0</v>
      </c>
      <c r="T327" s="208">
        <v>1</v>
      </c>
      <c r="U327" s="280" t="s">
        <v>2580</v>
      </c>
    </row>
    <row r="328" spans="1:21" x14ac:dyDescent="0.25">
      <c r="A328" s="211" t="s">
        <v>1125</v>
      </c>
      <c r="B328" s="209" t="s">
        <v>2578</v>
      </c>
      <c r="C328" s="209" t="s">
        <v>2590</v>
      </c>
      <c r="D328" s="209" t="s">
        <v>461</v>
      </c>
      <c r="E328" s="209" t="s">
        <v>1914</v>
      </c>
      <c r="F328" s="208">
        <v>4.1466669999999997E-3</v>
      </c>
      <c r="G328" s="208">
        <v>3.27</v>
      </c>
      <c r="H328" s="209" t="s">
        <v>1916</v>
      </c>
      <c r="I328" s="209" t="s">
        <v>182</v>
      </c>
      <c r="J328" s="209" t="s">
        <v>1924</v>
      </c>
      <c r="K328" s="212" t="s">
        <v>2798</v>
      </c>
      <c r="L328" s="209"/>
      <c r="M328" s="208">
        <v>0</v>
      </c>
      <c r="N328" s="208">
        <v>1</v>
      </c>
      <c r="O328" s="218" t="s">
        <v>147</v>
      </c>
      <c r="P328" s="218" t="s">
        <v>147</v>
      </c>
      <c r="Q328" s="218" t="s">
        <v>147</v>
      </c>
      <c r="R328" s="218" t="s">
        <v>147</v>
      </c>
      <c r="S328" s="208">
        <v>0</v>
      </c>
      <c r="T328" s="208">
        <v>1</v>
      </c>
      <c r="U328" s="280" t="s">
        <v>2580</v>
      </c>
    </row>
    <row r="329" spans="1:21" x14ac:dyDescent="0.25">
      <c r="A329" s="211" t="s">
        <v>1127</v>
      </c>
      <c r="B329" s="209" t="s">
        <v>2578</v>
      </c>
      <c r="C329" s="209" t="s">
        <v>2591</v>
      </c>
      <c r="D329" s="209" t="s">
        <v>461</v>
      </c>
      <c r="E329" s="209" t="s">
        <v>1914</v>
      </c>
      <c r="F329" s="208">
        <v>4.1466669999999997E-3</v>
      </c>
      <c r="G329" s="208">
        <v>3.27</v>
      </c>
      <c r="H329" s="209" t="s">
        <v>1916</v>
      </c>
      <c r="I329" s="209" t="s">
        <v>182</v>
      </c>
      <c r="J329" s="209" t="s">
        <v>1924</v>
      </c>
      <c r="K329" s="212" t="s">
        <v>2798</v>
      </c>
      <c r="L329" s="209"/>
      <c r="M329" s="208">
        <v>0</v>
      </c>
      <c r="N329" s="208">
        <v>1</v>
      </c>
      <c r="O329" s="218" t="s">
        <v>147</v>
      </c>
      <c r="P329" s="218" t="s">
        <v>147</v>
      </c>
      <c r="Q329" s="218" t="s">
        <v>147</v>
      </c>
      <c r="R329" s="218" t="s">
        <v>147</v>
      </c>
      <c r="S329" s="208">
        <v>0</v>
      </c>
      <c r="T329" s="208">
        <v>1</v>
      </c>
      <c r="U329" s="280" t="s">
        <v>2580</v>
      </c>
    </row>
    <row r="330" spans="1:21" x14ac:dyDescent="0.25">
      <c r="A330" s="211" t="s">
        <v>2596</v>
      </c>
      <c r="B330" s="209" t="s">
        <v>2578</v>
      </c>
      <c r="C330" s="209" t="s">
        <v>2597</v>
      </c>
      <c r="D330" s="209" t="s">
        <v>461</v>
      </c>
      <c r="E330" s="209" t="s">
        <v>1914</v>
      </c>
      <c r="F330" s="208">
        <v>4.1466669999999997E-3</v>
      </c>
      <c r="G330" s="208">
        <v>3.27</v>
      </c>
      <c r="H330" s="209" t="s">
        <v>1916</v>
      </c>
      <c r="I330" s="209" t="s">
        <v>182</v>
      </c>
      <c r="J330" s="209" t="s">
        <v>1924</v>
      </c>
      <c r="K330" s="212" t="s">
        <v>2798</v>
      </c>
      <c r="L330" s="209"/>
      <c r="M330" s="208">
        <v>0</v>
      </c>
      <c r="N330" s="208">
        <v>1</v>
      </c>
      <c r="O330" s="218" t="s">
        <v>147</v>
      </c>
      <c r="P330" s="218" t="s">
        <v>147</v>
      </c>
      <c r="Q330" s="218" t="s">
        <v>147</v>
      </c>
      <c r="R330" s="218" t="s">
        <v>147</v>
      </c>
      <c r="S330" s="208">
        <v>0</v>
      </c>
      <c r="T330" s="208">
        <v>1</v>
      </c>
      <c r="U330" s="280" t="s">
        <v>2580</v>
      </c>
    </row>
    <row r="331" spans="1:21" x14ac:dyDescent="0.25">
      <c r="A331" s="211" t="s">
        <v>2592</v>
      </c>
      <c r="B331" s="209" t="s">
        <v>2578</v>
      </c>
      <c r="C331" s="209" t="s">
        <v>2593</v>
      </c>
      <c r="D331" s="209" t="s">
        <v>461</v>
      </c>
      <c r="E331" s="209" t="s">
        <v>1914</v>
      </c>
      <c r="F331" s="208">
        <v>4.1466669999999997E-3</v>
      </c>
      <c r="G331" s="208">
        <v>3.27</v>
      </c>
      <c r="H331" s="209" t="s">
        <v>1916</v>
      </c>
      <c r="I331" s="209" t="s">
        <v>182</v>
      </c>
      <c r="J331" s="209" t="s">
        <v>1924</v>
      </c>
      <c r="K331" s="212" t="s">
        <v>2798</v>
      </c>
      <c r="L331" s="209"/>
      <c r="M331" s="208">
        <v>0</v>
      </c>
      <c r="N331" s="208">
        <v>1</v>
      </c>
      <c r="O331" s="218" t="s">
        <v>147</v>
      </c>
      <c r="P331" s="218" t="s">
        <v>147</v>
      </c>
      <c r="Q331" s="218" t="s">
        <v>147</v>
      </c>
      <c r="R331" s="218" t="s">
        <v>147</v>
      </c>
      <c r="S331" s="208">
        <v>0</v>
      </c>
      <c r="T331" s="208">
        <v>1</v>
      </c>
      <c r="U331" s="280" t="s">
        <v>2580</v>
      </c>
    </row>
    <row r="332" spans="1:21" x14ac:dyDescent="0.25">
      <c r="A332" s="211" t="s">
        <v>2594</v>
      </c>
      <c r="B332" s="209" t="s">
        <v>2578</v>
      </c>
      <c r="C332" s="209" t="s">
        <v>2595</v>
      </c>
      <c r="D332" s="209" t="s">
        <v>461</v>
      </c>
      <c r="E332" s="209" t="s">
        <v>1914</v>
      </c>
      <c r="F332" s="208">
        <v>4.1466669999999997E-3</v>
      </c>
      <c r="G332" s="208">
        <v>3.27</v>
      </c>
      <c r="H332" s="209" t="s">
        <v>1916</v>
      </c>
      <c r="I332" s="209" t="s">
        <v>182</v>
      </c>
      <c r="J332" s="209" t="s">
        <v>1924</v>
      </c>
      <c r="K332" s="212" t="s">
        <v>2798</v>
      </c>
      <c r="L332" s="209"/>
      <c r="M332" s="208">
        <v>0</v>
      </c>
      <c r="N332" s="208">
        <v>1</v>
      </c>
      <c r="O332" s="218" t="s">
        <v>147</v>
      </c>
      <c r="P332" s="218" t="s">
        <v>147</v>
      </c>
      <c r="Q332" s="218" t="s">
        <v>147</v>
      </c>
      <c r="R332" s="218" t="s">
        <v>147</v>
      </c>
      <c r="S332" s="208">
        <v>0</v>
      </c>
      <c r="T332" s="208">
        <v>1</v>
      </c>
      <c r="U332" s="280" t="s">
        <v>2580</v>
      </c>
    </row>
    <row r="333" spans="1:21" x14ac:dyDescent="0.25">
      <c r="A333" s="211" t="s">
        <v>1069</v>
      </c>
      <c r="B333" s="209" t="s">
        <v>2679</v>
      </c>
      <c r="C333" s="209" t="s">
        <v>2680</v>
      </c>
      <c r="D333" s="209" t="s">
        <v>461</v>
      </c>
      <c r="E333" s="209" t="s">
        <v>1914</v>
      </c>
      <c r="F333" s="208">
        <v>3.0999999999999999E-3</v>
      </c>
      <c r="G333" s="208">
        <v>3.47</v>
      </c>
      <c r="H333" s="209" t="s">
        <v>1916</v>
      </c>
      <c r="I333" s="209" t="s">
        <v>182</v>
      </c>
      <c r="J333" s="209" t="s">
        <v>2538</v>
      </c>
      <c r="K333" s="212" t="s">
        <v>2798</v>
      </c>
      <c r="L333" s="209"/>
      <c r="M333" s="208">
        <v>0</v>
      </c>
      <c r="N333" s="208">
        <v>1</v>
      </c>
      <c r="O333" s="208">
        <v>0</v>
      </c>
      <c r="P333" s="208">
        <v>1.1140000000000001</v>
      </c>
      <c r="Q333" s="218" t="s">
        <v>147</v>
      </c>
      <c r="R333" s="218" t="s">
        <v>147</v>
      </c>
      <c r="S333" s="208">
        <v>0</v>
      </c>
      <c r="T333" s="208">
        <v>1</v>
      </c>
      <c r="U333" s="280" t="s">
        <v>2681</v>
      </c>
    </row>
    <row r="334" spans="1:21" x14ac:dyDescent="0.25">
      <c r="A334" s="211" t="s">
        <v>1071</v>
      </c>
      <c r="B334" s="209" t="s">
        <v>2679</v>
      </c>
      <c r="C334" s="209" t="s">
        <v>2682</v>
      </c>
      <c r="D334" s="209" t="s">
        <v>461</v>
      </c>
      <c r="E334" s="209" t="s">
        <v>1914</v>
      </c>
      <c r="F334" s="208">
        <v>3.0999999999999999E-3</v>
      </c>
      <c r="G334" s="208">
        <v>3.47</v>
      </c>
      <c r="H334" s="209" t="s">
        <v>1916</v>
      </c>
      <c r="I334" s="209" t="s">
        <v>182</v>
      </c>
      <c r="J334" s="209" t="s">
        <v>2538</v>
      </c>
      <c r="K334" s="212" t="s">
        <v>2798</v>
      </c>
      <c r="L334" s="209"/>
      <c r="M334" s="208">
        <v>0</v>
      </c>
      <c r="N334" s="208">
        <v>1</v>
      </c>
      <c r="O334" s="208">
        <v>0</v>
      </c>
      <c r="P334" s="208">
        <v>1.1140000000000001</v>
      </c>
      <c r="Q334" s="218" t="s">
        <v>147</v>
      </c>
      <c r="R334" s="218" t="s">
        <v>147</v>
      </c>
      <c r="S334" s="208">
        <v>0</v>
      </c>
      <c r="T334" s="208">
        <v>1</v>
      </c>
      <c r="U334" s="280" t="s">
        <v>2681</v>
      </c>
    </row>
    <row r="335" spans="1:21" x14ac:dyDescent="0.25">
      <c r="A335" s="211" t="s">
        <v>1067</v>
      </c>
      <c r="B335" s="209" t="s">
        <v>2679</v>
      </c>
      <c r="C335" s="209" t="s">
        <v>2683</v>
      </c>
      <c r="D335" s="209" t="s">
        <v>461</v>
      </c>
      <c r="E335" s="209" t="s">
        <v>1914</v>
      </c>
      <c r="F335" s="208">
        <v>3.0999999999999999E-3</v>
      </c>
      <c r="G335" s="208">
        <v>3.47</v>
      </c>
      <c r="H335" s="209" t="s">
        <v>1916</v>
      </c>
      <c r="I335" s="209" t="s">
        <v>182</v>
      </c>
      <c r="J335" s="209" t="s">
        <v>2538</v>
      </c>
      <c r="K335" s="212" t="s">
        <v>2798</v>
      </c>
      <c r="L335" s="209"/>
      <c r="M335" s="208">
        <v>0</v>
      </c>
      <c r="N335" s="208">
        <v>1</v>
      </c>
      <c r="O335" s="208">
        <v>0</v>
      </c>
      <c r="P335" s="208">
        <v>1.1140000000000001</v>
      </c>
      <c r="Q335" s="218" t="s">
        <v>147</v>
      </c>
      <c r="R335" s="218" t="s">
        <v>147</v>
      </c>
      <c r="S335" s="208">
        <v>0</v>
      </c>
      <c r="T335" s="208">
        <v>1</v>
      </c>
      <c r="U335" s="280" t="s">
        <v>2681</v>
      </c>
    </row>
    <row r="336" spans="1:21" x14ac:dyDescent="0.25">
      <c r="A336" s="211" t="s">
        <v>2600</v>
      </c>
      <c r="B336" s="209" t="s">
        <v>2578</v>
      </c>
      <c r="C336" s="209" t="s">
        <v>2601</v>
      </c>
      <c r="D336" s="209" t="s">
        <v>461</v>
      </c>
      <c r="E336" s="209" t="s">
        <v>1914</v>
      </c>
      <c r="F336" s="208">
        <v>4.1466669999999997E-3</v>
      </c>
      <c r="G336" s="208">
        <v>3.27</v>
      </c>
      <c r="H336" s="209" t="s">
        <v>1916</v>
      </c>
      <c r="I336" s="209" t="s">
        <v>182</v>
      </c>
      <c r="J336" s="209" t="s">
        <v>1924</v>
      </c>
      <c r="K336" s="212" t="s">
        <v>2798</v>
      </c>
      <c r="L336" s="209"/>
      <c r="M336" s="208">
        <v>0</v>
      </c>
      <c r="N336" s="208">
        <v>1</v>
      </c>
      <c r="O336" s="218" t="s">
        <v>147</v>
      </c>
      <c r="P336" s="218" t="s">
        <v>147</v>
      </c>
      <c r="Q336" s="218" t="s">
        <v>147</v>
      </c>
      <c r="R336" s="218" t="s">
        <v>147</v>
      </c>
      <c r="S336" s="208">
        <v>0</v>
      </c>
      <c r="T336" s="208">
        <v>1</v>
      </c>
      <c r="U336" s="280" t="s">
        <v>2580</v>
      </c>
    </row>
    <row r="337" spans="1:21" x14ac:dyDescent="0.25">
      <c r="A337" s="211" t="s">
        <v>2598</v>
      </c>
      <c r="B337" s="209" t="s">
        <v>2578</v>
      </c>
      <c r="C337" s="209" t="s">
        <v>2599</v>
      </c>
      <c r="D337" s="209" t="s">
        <v>461</v>
      </c>
      <c r="E337" s="209" t="s">
        <v>1914</v>
      </c>
      <c r="F337" s="208">
        <v>4.1466669999999997E-3</v>
      </c>
      <c r="G337" s="208">
        <v>3.27</v>
      </c>
      <c r="H337" s="209" t="s">
        <v>1916</v>
      </c>
      <c r="I337" s="209" t="s">
        <v>182</v>
      </c>
      <c r="J337" s="209" t="s">
        <v>1924</v>
      </c>
      <c r="K337" s="212" t="s">
        <v>2798</v>
      </c>
      <c r="L337" s="209"/>
      <c r="M337" s="208">
        <v>0</v>
      </c>
      <c r="N337" s="208">
        <v>1</v>
      </c>
      <c r="O337" s="218" t="s">
        <v>147</v>
      </c>
      <c r="P337" s="218" t="s">
        <v>147</v>
      </c>
      <c r="Q337" s="218" t="s">
        <v>147</v>
      </c>
      <c r="R337" s="218" t="s">
        <v>147</v>
      </c>
      <c r="S337" s="208">
        <v>0</v>
      </c>
      <c r="T337" s="208">
        <v>1</v>
      </c>
      <c r="U337" s="280" t="s">
        <v>2580</v>
      </c>
    </row>
    <row r="338" spans="1:21" x14ac:dyDescent="0.25">
      <c r="A338" s="211" t="s">
        <v>2306</v>
      </c>
      <c r="B338" s="209" t="s">
        <v>2307</v>
      </c>
      <c r="C338" s="209" t="s">
        <v>2308</v>
      </c>
      <c r="D338" s="209" t="s">
        <v>461</v>
      </c>
      <c r="E338" s="209" t="s">
        <v>1914</v>
      </c>
      <c r="F338" s="208">
        <v>1.5599999999999999E-2</v>
      </c>
      <c r="G338" s="208">
        <v>2.8610000000000002</v>
      </c>
      <c r="H338" s="209" t="s">
        <v>1916</v>
      </c>
      <c r="I338" s="209" t="s">
        <v>182</v>
      </c>
      <c r="J338" s="209" t="s">
        <v>2309</v>
      </c>
      <c r="K338" s="212" t="s">
        <v>2798</v>
      </c>
      <c r="L338" s="209"/>
      <c r="M338" s="208">
        <v>0</v>
      </c>
      <c r="N338" s="208">
        <v>1.012</v>
      </c>
      <c r="O338" s="208">
        <v>0</v>
      </c>
      <c r="P338" s="208">
        <v>1.2090000000000001</v>
      </c>
      <c r="Q338" s="208">
        <v>0</v>
      </c>
      <c r="R338" s="208">
        <v>0.82712985938792383</v>
      </c>
      <c r="S338" s="208">
        <v>0</v>
      </c>
      <c r="T338" s="208">
        <v>0.98814229249011853</v>
      </c>
      <c r="U338" s="280" t="s">
        <v>2310</v>
      </c>
    </row>
    <row r="339" spans="1:21" x14ac:dyDescent="0.25">
      <c r="A339" s="211" t="s">
        <v>1240</v>
      </c>
      <c r="B339" s="209" t="s">
        <v>2307</v>
      </c>
      <c r="C339" s="209" t="s">
        <v>2311</v>
      </c>
      <c r="D339" s="209" t="s">
        <v>461</v>
      </c>
      <c r="E339" s="209" t="s">
        <v>1914</v>
      </c>
      <c r="F339" s="208">
        <v>1.5599999999999999E-2</v>
      </c>
      <c r="G339" s="208">
        <v>2.8610000000000002</v>
      </c>
      <c r="H339" s="209" t="s">
        <v>1916</v>
      </c>
      <c r="I339" s="209" t="s">
        <v>182</v>
      </c>
      <c r="J339" s="209" t="s">
        <v>2309</v>
      </c>
      <c r="K339" s="212" t="s">
        <v>2798</v>
      </c>
      <c r="L339" s="209"/>
      <c r="M339" s="208">
        <v>0</v>
      </c>
      <c r="N339" s="208">
        <v>1.012</v>
      </c>
      <c r="O339" s="208">
        <v>0</v>
      </c>
      <c r="P339" s="208">
        <v>1.2090000000000001</v>
      </c>
      <c r="Q339" s="208">
        <v>0</v>
      </c>
      <c r="R339" s="208">
        <v>0.82712985938792383</v>
      </c>
      <c r="S339" s="208">
        <v>0</v>
      </c>
      <c r="T339" s="208">
        <v>0.98814229249011853</v>
      </c>
      <c r="U339" s="280" t="s">
        <v>2310</v>
      </c>
    </row>
    <row r="340" spans="1:21" x14ac:dyDescent="0.25">
      <c r="A340" s="211" t="s">
        <v>2281</v>
      </c>
      <c r="B340" s="209" t="s">
        <v>2282</v>
      </c>
      <c r="C340" s="209" t="s">
        <v>1911</v>
      </c>
      <c r="D340" s="209" t="s">
        <v>450</v>
      </c>
      <c r="E340" s="209" t="s">
        <v>1914</v>
      </c>
      <c r="F340" s="208">
        <v>1.8813239436619712E-2</v>
      </c>
      <c r="G340" s="208">
        <v>3.0291915492957733</v>
      </c>
      <c r="H340" s="209" t="s">
        <v>1916</v>
      </c>
      <c r="I340" s="209" t="s">
        <v>182</v>
      </c>
      <c r="J340" s="209" t="s">
        <v>1924</v>
      </c>
      <c r="K340" s="212" t="s">
        <v>2798</v>
      </c>
      <c r="L340" s="209"/>
      <c r="M340" s="208">
        <v>0</v>
      </c>
      <c r="N340" s="208">
        <v>1</v>
      </c>
      <c r="O340" s="208">
        <v>0</v>
      </c>
      <c r="P340" s="208">
        <v>1.2690355329949239</v>
      </c>
      <c r="Q340" s="208">
        <v>0</v>
      </c>
      <c r="R340" s="208">
        <v>0.78800000000000003</v>
      </c>
      <c r="S340" s="208">
        <v>0</v>
      </c>
      <c r="T340" s="208">
        <v>1</v>
      </c>
      <c r="U340" s="280" t="s">
        <v>2283</v>
      </c>
    </row>
    <row r="341" spans="1:21" x14ac:dyDescent="0.25">
      <c r="A341" s="211" t="s">
        <v>2223</v>
      </c>
      <c r="B341" s="209" t="s">
        <v>2220</v>
      </c>
      <c r="C341" s="209" t="s">
        <v>2224</v>
      </c>
      <c r="D341" s="209" t="s">
        <v>461</v>
      </c>
      <c r="E341" s="209" t="s">
        <v>1914</v>
      </c>
      <c r="F341" s="208">
        <v>6.6637500000000004E-3</v>
      </c>
      <c r="G341" s="208">
        <v>3.3155000000000001</v>
      </c>
      <c r="H341" s="209" t="s">
        <v>1916</v>
      </c>
      <c r="I341" s="209" t="s">
        <v>182</v>
      </c>
      <c r="J341" s="209" t="s">
        <v>1924</v>
      </c>
      <c r="K341" s="212" t="s">
        <v>2798</v>
      </c>
      <c r="L341" s="209"/>
      <c r="M341" s="208">
        <v>0</v>
      </c>
      <c r="N341" s="208">
        <v>1</v>
      </c>
      <c r="O341" s="208">
        <v>0</v>
      </c>
      <c r="P341" s="208">
        <v>1.07</v>
      </c>
      <c r="Q341" s="208">
        <v>0</v>
      </c>
      <c r="R341" s="208">
        <v>0.93457943925233644</v>
      </c>
      <c r="S341" s="208">
        <v>0</v>
      </c>
      <c r="T341" s="208">
        <v>1</v>
      </c>
      <c r="U341" s="280" t="s">
        <v>2222</v>
      </c>
    </row>
    <row r="342" spans="1:21" x14ac:dyDescent="0.25">
      <c r="A342" s="211" t="s">
        <v>1647</v>
      </c>
      <c r="B342" s="209" t="s">
        <v>2279</v>
      </c>
      <c r="C342" s="209" t="s">
        <v>2280</v>
      </c>
      <c r="D342" s="209" t="s">
        <v>461</v>
      </c>
      <c r="E342" s="209" t="s">
        <v>1914</v>
      </c>
      <c r="F342" s="208">
        <v>2.5699999999999998E-3</v>
      </c>
      <c r="G342" s="208">
        <v>3.2933333333333334</v>
      </c>
      <c r="H342" s="209" t="s">
        <v>1916</v>
      </c>
      <c r="I342" s="209" t="s">
        <v>182</v>
      </c>
      <c r="J342" s="209" t="s">
        <v>1924</v>
      </c>
      <c r="K342" s="212" t="s">
        <v>2798</v>
      </c>
      <c r="L342" s="209"/>
      <c r="M342" s="208">
        <v>0</v>
      </c>
      <c r="N342" s="208">
        <v>1.2090000000000001</v>
      </c>
      <c r="O342" s="208">
        <v>0</v>
      </c>
      <c r="P342" s="208">
        <v>1.33</v>
      </c>
      <c r="Q342" s="208">
        <v>0</v>
      </c>
      <c r="R342" s="208">
        <v>0.75187969924812026</v>
      </c>
      <c r="S342" s="208">
        <v>0</v>
      </c>
      <c r="T342" s="208">
        <v>0.82712985938792383</v>
      </c>
      <c r="U342" s="280" t="s">
        <v>1917</v>
      </c>
    </row>
    <row r="343" spans="1:21" x14ac:dyDescent="0.25">
      <c r="A343" s="211" t="s">
        <v>2253</v>
      </c>
      <c r="B343" s="209" t="s">
        <v>2254</v>
      </c>
      <c r="C343" s="209" t="s">
        <v>2255</v>
      </c>
      <c r="D343" s="209" t="s">
        <v>461</v>
      </c>
      <c r="E343" s="209" t="s">
        <v>1914</v>
      </c>
      <c r="F343" s="208">
        <v>1.187E-2</v>
      </c>
      <c r="G343" s="208">
        <v>3.0365000000000002</v>
      </c>
      <c r="H343" s="209" t="s">
        <v>1916</v>
      </c>
      <c r="I343" s="209" t="s">
        <v>182</v>
      </c>
      <c r="J343" s="209" t="s">
        <v>1917</v>
      </c>
      <c r="K343" s="212" t="s">
        <v>2798</v>
      </c>
      <c r="L343" s="209"/>
      <c r="M343" s="208">
        <v>0</v>
      </c>
      <c r="N343" s="208">
        <v>1.1428571428571428</v>
      </c>
      <c r="O343" s="208">
        <v>0</v>
      </c>
      <c r="P343" s="208">
        <v>1.2224938875305624</v>
      </c>
      <c r="Q343" s="208">
        <v>0</v>
      </c>
      <c r="R343" s="208">
        <v>0.81799999999999995</v>
      </c>
      <c r="S343" s="208">
        <v>0</v>
      </c>
      <c r="T343" s="208">
        <v>0.875</v>
      </c>
      <c r="U343" s="280" t="s">
        <v>1917</v>
      </c>
    </row>
    <row r="344" spans="1:21" x14ac:dyDescent="0.25">
      <c r="A344" s="211" t="s">
        <v>2284</v>
      </c>
      <c r="B344" s="209" t="s">
        <v>2282</v>
      </c>
      <c r="C344" s="209" t="s">
        <v>2285</v>
      </c>
      <c r="D344" s="209" t="s">
        <v>450</v>
      </c>
      <c r="E344" s="209" t="s">
        <v>1914</v>
      </c>
      <c r="F344" s="208">
        <v>1.8813239436619712E-2</v>
      </c>
      <c r="G344" s="208">
        <v>3.0291915492957733</v>
      </c>
      <c r="H344" s="209" t="s">
        <v>1916</v>
      </c>
      <c r="I344" s="209" t="s">
        <v>182</v>
      </c>
      <c r="J344" s="209" t="s">
        <v>1924</v>
      </c>
      <c r="K344" s="212" t="s">
        <v>2798</v>
      </c>
      <c r="L344" s="209"/>
      <c r="M344" s="208">
        <v>0</v>
      </c>
      <c r="N344" s="208">
        <v>1</v>
      </c>
      <c r="O344" s="208">
        <v>0</v>
      </c>
      <c r="P344" s="208">
        <v>1.2690355329949239</v>
      </c>
      <c r="Q344" s="208">
        <v>0</v>
      </c>
      <c r="R344" s="208">
        <v>0.78800000000000003</v>
      </c>
      <c r="S344" s="208">
        <v>0</v>
      </c>
      <c r="T344" s="208">
        <v>1</v>
      </c>
      <c r="U344" s="280" t="s">
        <v>2283</v>
      </c>
    </row>
    <row r="345" spans="1:21" x14ac:dyDescent="0.25">
      <c r="A345" s="211" t="s">
        <v>2286</v>
      </c>
      <c r="B345" s="209" t="s">
        <v>2282</v>
      </c>
      <c r="C345" s="209" t="s">
        <v>2287</v>
      </c>
      <c r="D345" s="209" t="s">
        <v>450</v>
      </c>
      <c r="E345" s="209" t="s">
        <v>1914</v>
      </c>
      <c r="F345" s="208">
        <v>1.8813239436619712E-2</v>
      </c>
      <c r="G345" s="208">
        <v>3.0291915492957733</v>
      </c>
      <c r="H345" s="209" t="s">
        <v>1916</v>
      </c>
      <c r="I345" s="209" t="s">
        <v>182</v>
      </c>
      <c r="J345" s="209" t="s">
        <v>1924</v>
      </c>
      <c r="K345" s="212" t="s">
        <v>2798</v>
      </c>
      <c r="L345" s="209"/>
      <c r="M345" s="208">
        <v>0</v>
      </c>
      <c r="N345" s="208">
        <v>1</v>
      </c>
      <c r="O345" s="208">
        <v>0</v>
      </c>
      <c r="P345" s="208">
        <v>1.2690355329949239</v>
      </c>
      <c r="Q345" s="208">
        <v>0</v>
      </c>
      <c r="R345" s="208">
        <v>0.78800000000000003</v>
      </c>
      <c r="S345" s="208">
        <v>0</v>
      </c>
      <c r="T345" s="208">
        <v>1</v>
      </c>
      <c r="U345" s="280" t="s">
        <v>2283</v>
      </c>
    </row>
    <row r="346" spans="1:21" x14ac:dyDescent="0.25">
      <c r="A346" s="211" t="s">
        <v>1063</v>
      </c>
      <c r="B346" s="209" t="s">
        <v>2679</v>
      </c>
      <c r="C346" s="209" t="s">
        <v>2684</v>
      </c>
      <c r="D346" s="209" t="s">
        <v>461</v>
      </c>
      <c r="E346" s="209" t="s">
        <v>1914</v>
      </c>
      <c r="F346" s="208">
        <v>3.0999999999999999E-3</v>
      </c>
      <c r="G346" s="208">
        <v>3.47</v>
      </c>
      <c r="H346" s="209" t="s">
        <v>1916</v>
      </c>
      <c r="I346" s="209" t="s">
        <v>182</v>
      </c>
      <c r="J346" s="209" t="s">
        <v>2538</v>
      </c>
      <c r="K346" s="212" t="s">
        <v>2798</v>
      </c>
      <c r="L346" s="209"/>
      <c r="M346" s="208">
        <v>0</v>
      </c>
      <c r="N346" s="208">
        <v>1</v>
      </c>
      <c r="O346" s="208">
        <v>0</v>
      </c>
      <c r="P346" s="208">
        <v>1.1140000000000001</v>
      </c>
      <c r="Q346" s="218" t="s">
        <v>147</v>
      </c>
      <c r="R346" s="218" t="s">
        <v>147</v>
      </c>
      <c r="S346" s="208">
        <v>0</v>
      </c>
      <c r="T346" s="208">
        <v>1</v>
      </c>
      <c r="U346" s="280" t="s">
        <v>2681</v>
      </c>
    </row>
    <row r="347" spans="1:21" x14ac:dyDescent="0.25">
      <c r="A347" s="211" t="s">
        <v>2312</v>
      </c>
      <c r="B347" s="209" t="s">
        <v>2307</v>
      </c>
      <c r="C347" s="209" t="s">
        <v>2313</v>
      </c>
      <c r="D347" s="209" t="s">
        <v>461</v>
      </c>
      <c r="E347" s="209" t="s">
        <v>1914</v>
      </c>
      <c r="F347" s="208">
        <v>1.5599999999999999E-2</v>
      </c>
      <c r="G347" s="208">
        <v>2.8610000000000002</v>
      </c>
      <c r="H347" s="209" t="s">
        <v>1916</v>
      </c>
      <c r="I347" s="209" t="s">
        <v>182</v>
      </c>
      <c r="J347" s="209" t="s">
        <v>2309</v>
      </c>
      <c r="K347" s="212" t="s">
        <v>2798</v>
      </c>
      <c r="L347" s="209"/>
      <c r="M347" s="208">
        <v>0</v>
      </c>
      <c r="N347" s="208">
        <v>1.012</v>
      </c>
      <c r="O347" s="208">
        <v>0</v>
      </c>
      <c r="P347" s="208">
        <v>1.2090000000000001</v>
      </c>
      <c r="Q347" s="208">
        <v>0</v>
      </c>
      <c r="R347" s="208">
        <v>0.82712985938792383</v>
      </c>
      <c r="S347" s="208">
        <v>0</v>
      </c>
      <c r="T347" s="208">
        <v>0.98814229249011853</v>
      </c>
      <c r="U347" s="280" t="s">
        <v>2310</v>
      </c>
    </row>
    <row r="348" spans="1:21" x14ac:dyDescent="0.25">
      <c r="A348" s="211" t="s">
        <v>2312</v>
      </c>
      <c r="B348" s="209" t="s">
        <v>2307</v>
      </c>
      <c r="C348" s="209" t="s">
        <v>2313</v>
      </c>
      <c r="D348" s="209" t="s">
        <v>461</v>
      </c>
      <c r="E348" s="209" t="s">
        <v>1914</v>
      </c>
      <c r="F348" s="208">
        <v>1.5599999999999999E-2</v>
      </c>
      <c r="G348" s="208">
        <v>2.8610000000000002</v>
      </c>
      <c r="H348" s="209" t="s">
        <v>1916</v>
      </c>
      <c r="I348" s="209" t="s">
        <v>182</v>
      </c>
      <c r="J348" s="209" t="s">
        <v>2309</v>
      </c>
      <c r="K348" s="212" t="s">
        <v>2798</v>
      </c>
      <c r="L348" s="209"/>
      <c r="M348" s="208">
        <v>0</v>
      </c>
      <c r="N348" s="208">
        <v>1.012</v>
      </c>
      <c r="O348" s="208">
        <v>0</v>
      </c>
      <c r="P348" s="208">
        <v>1.2090000000000001</v>
      </c>
      <c r="Q348" s="208">
        <v>0</v>
      </c>
      <c r="R348" s="208">
        <v>0.82712985938792383</v>
      </c>
      <c r="S348" s="208">
        <v>0</v>
      </c>
      <c r="T348" s="208">
        <v>0.98814229249011853</v>
      </c>
      <c r="U348" s="280" t="s">
        <v>2310</v>
      </c>
    </row>
    <row r="349" spans="1:21" x14ac:dyDescent="0.25">
      <c r="A349" s="211" t="s">
        <v>1220</v>
      </c>
      <c r="B349" s="209" t="s">
        <v>2307</v>
      </c>
      <c r="C349" s="209" t="s">
        <v>2314</v>
      </c>
      <c r="D349" s="209" t="s">
        <v>461</v>
      </c>
      <c r="E349" s="209" t="s">
        <v>1914</v>
      </c>
      <c r="F349" s="208">
        <v>1.5599999999999999E-2</v>
      </c>
      <c r="G349" s="208">
        <v>2.8610000000000002</v>
      </c>
      <c r="H349" s="209" t="s">
        <v>1916</v>
      </c>
      <c r="I349" s="209" t="s">
        <v>182</v>
      </c>
      <c r="J349" s="209" t="s">
        <v>2309</v>
      </c>
      <c r="K349" s="212" t="s">
        <v>2798</v>
      </c>
      <c r="L349" s="209"/>
      <c r="M349" s="208">
        <v>0</v>
      </c>
      <c r="N349" s="208">
        <v>1.012</v>
      </c>
      <c r="O349" s="208">
        <v>0</v>
      </c>
      <c r="P349" s="208">
        <v>1.2090000000000001</v>
      </c>
      <c r="Q349" s="208">
        <v>0</v>
      </c>
      <c r="R349" s="208">
        <v>0.82712985938792383</v>
      </c>
      <c r="S349" s="208">
        <v>0</v>
      </c>
      <c r="T349" s="208">
        <v>0.98814229249011853</v>
      </c>
      <c r="U349" s="280" t="s">
        <v>2310</v>
      </c>
    </row>
    <row r="350" spans="1:21" x14ac:dyDescent="0.25">
      <c r="A350" s="211" t="s">
        <v>2315</v>
      </c>
      <c r="B350" s="209" t="s">
        <v>2307</v>
      </c>
      <c r="C350" s="209" t="s">
        <v>1911</v>
      </c>
      <c r="D350" s="209" t="s">
        <v>461</v>
      </c>
      <c r="E350" s="209" t="s">
        <v>1914</v>
      </c>
      <c r="F350" s="208">
        <v>1.5599999999999999E-2</v>
      </c>
      <c r="G350" s="208">
        <v>2.8610000000000002</v>
      </c>
      <c r="H350" s="209" t="s">
        <v>1916</v>
      </c>
      <c r="I350" s="209" t="s">
        <v>182</v>
      </c>
      <c r="J350" s="209" t="s">
        <v>2309</v>
      </c>
      <c r="K350" s="212" t="s">
        <v>2798</v>
      </c>
      <c r="L350" s="209"/>
      <c r="M350" s="208">
        <v>0</v>
      </c>
      <c r="N350" s="208">
        <v>1.012</v>
      </c>
      <c r="O350" s="208">
        <v>0</v>
      </c>
      <c r="P350" s="208">
        <v>1.2090000000000001</v>
      </c>
      <c r="Q350" s="208">
        <v>0</v>
      </c>
      <c r="R350" s="208">
        <v>0.82712985938792383</v>
      </c>
      <c r="S350" s="208">
        <v>0</v>
      </c>
      <c r="T350" s="208">
        <v>0.98814229249011853</v>
      </c>
      <c r="U350" s="280" t="s">
        <v>2310</v>
      </c>
    </row>
    <row r="351" spans="1:21" x14ac:dyDescent="0.25">
      <c r="A351" s="211" t="s">
        <v>1212</v>
      </c>
      <c r="B351" s="209" t="s">
        <v>2307</v>
      </c>
      <c r="C351" s="209" t="s">
        <v>2316</v>
      </c>
      <c r="D351" s="209" t="s">
        <v>461</v>
      </c>
      <c r="E351" s="209" t="s">
        <v>1914</v>
      </c>
      <c r="F351" s="208">
        <v>1.5599999999999999E-2</v>
      </c>
      <c r="G351" s="208">
        <v>2.8610000000000002</v>
      </c>
      <c r="H351" s="209" t="s">
        <v>1916</v>
      </c>
      <c r="I351" s="209" t="s">
        <v>182</v>
      </c>
      <c r="J351" s="209" t="s">
        <v>2309</v>
      </c>
      <c r="K351" s="212" t="s">
        <v>2798</v>
      </c>
      <c r="L351" s="209"/>
      <c r="M351" s="208">
        <v>0</v>
      </c>
      <c r="N351" s="208">
        <v>1.012</v>
      </c>
      <c r="O351" s="208">
        <v>0</v>
      </c>
      <c r="P351" s="208">
        <v>1.2090000000000001</v>
      </c>
      <c r="Q351" s="208">
        <v>0</v>
      </c>
      <c r="R351" s="208">
        <v>0.82712985938792383</v>
      </c>
      <c r="S351" s="208">
        <v>0</v>
      </c>
      <c r="T351" s="208">
        <v>0.98814229249011853</v>
      </c>
      <c r="U351" s="280" t="s">
        <v>2310</v>
      </c>
    </row>
    <row r="352" spans="1:21" x14ac:dyDescent="0.25">
      <c r="A352" s="211" t="s">
        <v>1230</v>
      </c>
      <c r="B352" s="209" t="s">
        <v>2307</v>
      </c>
      <c r="C352" s="209" t="s">
        <v>2323</v>
      </c>
      <c r="D352" s="209" t="s">
        <v>461</v>
      </c>
      <c r="E352" s="209" t="s">
        <v>1914</v>
      </c>
      <c r="F352" s="208">
        <v>1.5599999999999999E-2</v>
      </c>
      <c r="G352" s="208">
        <v>2.8610000000000002</v>
      </c>
      <c r="H352" s="209" t="s">
        <v>1916</v>
      </c>
      <c r="I352" s="209" t="s">
        <v>182</v>
      </c>
      <c r="J352" s="209" t="s">
        <v>2309</v>
      </c>
      <c r="K352" s="212" t="s">
        <v>2798</v>
      </c>
      <c r="L352" s="209"/>
      <c r="M352" s="208">
        <v>0</v>
      </c>
      <c r="N352" s="208">
        <v>1.012</v>
      </c>
      <c r="O352" s="208">
        <v>0</v>
      </c>
      <c r="P352" s="208">
        <v>1.2090000000000001</v>
      </c>
      <c r="Q352" s="208">
        <v>0</v>
      </c>
      <c r="R352" s="208">
        <v>0.82712985938792383</v>
      </c>
      <c r="S352" s="208">
        <v>0</v>
      </c>
      <c r="T352" s="208">
        <v>0.98814229249011853</v>
      </c>
      <c r="U352" s="280" t="s">
        <v>2310</v>
      </c>
    </row>
    <row r="353" spans="1:21" x14ac:dyDescent="0.25">
      <c r="A353" s="211" t="s">
        <v>1222</v>
      </c>
      <c r="B353" s="209" t="s">
        <v>2307</v>
      </c>
      <c r="C353" s="209" t="s">
        <v>2317</v>
      </c>
      <c r="D353" s="209" t="s">
        <v>461</v>
      </c>
      <c r="E353" s="209" t="s">
        <v>1914</v>
      </c>
      <c r="F353" s="208">
        <v>1.5599999999999999E-2</v>
      </c>
      <c r="G353" s="208">
        <v>2.8610000000000002</v>
      </c>
      <c r="H353" s="209" t="s">
        <v>1916</v>
      </c>
      <c r="I353" s="209" t="s">
        <v>182</v>
      </c>
      <c r="J353" s="209" t="s">
        <v>2309</v>
      </c>
      <c r="K353" s="212" t="s">
        <v>2798</v>
      </c>
      <c r="L353" s="209"/>
      <c r="M353" s="208">
        <v>0</v>
      </c>
      <c r="N353" s="208">
        <v>1.012</v>
      </c>
      <c r="O353" s="208">
        <v>0</v>
      </c>
      <c r="P353" s="208">
        <v>1.2090000000000001</v>
      </c>
      <c r="Q353" s="208">
        <v>0</v>
      </c>
      <c r="R353" s="208">
        <v>0.82712985938792383</v>
      </c>
      <c r="S353" s="208">
        <v>0</v>
      </c>
      <c r="T353" s="208">
        <v>0.98814229249011853</v>
      </c>
      <c r="U353" s="280" t="s">
        <v>2310</v>
      </c>
    </row>
    <row r="354" spans="1:21" x14ac:dyDescent="0.25">
      <c r="A354" s="211" t="s">
        <v>1224</v>
      </c>
      <c r="B354" s="209" t="s">
        <v>2307</v>
      </c>
      <c r="C354" s="209" t="s">
        <v>2318</v>
      </c>
      <c r="D354" s="209" t="s">
        <v>461</v>
      </c>
      <c r="E354" s="209" t="s">
        <v>1914</v>
      </c>
      <c r="F354" s="208">
        <v>1.5599999999999999E-2</v>
      </c>
      <c r="G354" s="208">
        <v>2.8610000000000002</v>
      </c>
      <c r="H354" s="209" t="s">
        <v>1916</v>
      </c>
      <c r="I354" s="209" t="s">
        <v>182</v>
      </c>
      <c r="J354" s="209" t="s">
        <v>2309</v>
      </c>
      <c r="K354" s="212" t="s">
        <v>2798</v>
      </c>
      <c r="L354" s="209"/>
      <c r="M354" s="208">
        <v>0</v>
      </c>
      <c r="N354" s="208">
        <v>1.012</v>
      </c>
      <c r="O354" s="208">
        <v>0</v>
      </c>
      <c r="P354" s="208">
        <v>1.2090000000000001</v>
      </c>
      <c r="Q354" s="208">
        <v>0</v>
      </c>
      <c r="R354" s="208">
        <v>0.82712985938792383</v>
      </c>
      <c r="S354" s="208">
        <v>0</v>
      </c>
      <c r="T354" s="208">
        <v>0.98814229249011853</v>
      </c>
      <c r="U354" s="280" t="s">
        <v>2310</v>
      </c>
    </row>
    <row r="355" spans="1:21" x14ac:dyDescent="0.25">
      <c r="A355" s="211" t="s">
        <v>1226</v>
      </c>
      <c r="B355" s="209" t="s">
        <v>2307</v>
      </c>
      <c r="C355" s="209" t="s">
        <v>2319</v>
      </c>
      <c r="D355" s="209" t="s">
        <v>461</v>
      </c>
      <c r="E355" s="209" t="s">
        <v>1914</v>
      </c>
      <c r="F355" s="208">
        <v>1.5599999999999999E-2</v>
      </c>
      <c r="G355" s="208">
        <v>2.8610000000000002</v>
      </c>
      <c r="H355" s="209" t="s">
        <v>1916</v>
      </c>
      <c r="I355" s="209" t="s">
        <v>182</v>
      </c>
      <c r="J355" s="209" t="s">
        <v>2309</v>
      </c>
      <c r="K355" s="212" t="s">
        <v>2798</v>
      </c>
      <c r="L355" s="209"/>
      <c r="M355" s="208">
        <v>0</v>
      </c>
      <c r="N355" s="208">
        <v>1.012</v>
      </c>
      <c r="O355" s="208">
        <v>0</v>
      </c>
      <c r="P355" s="208">
        <v>1.2090000000000001</v>
      </c>
      <c r="Q355" s="208">
        <v>0</v>
      </c>
      <c r="R355" s="208">
        <v>0.82712985938792383</v>
      </c>
      <c r="S355" s="208">
        <v>0</v>
      </c>
      <c r="T355" s="208">
        <v>0.98814229249011853</v>
      </c>
      <c r="U355" s="280" t="s">
        <v>2310</v>
      </c>
    </row>
    <row r="356" spans="1:21" x14ac:dyDescent="0.25">
      <c r="A356" s="211" t="s">
        <v>2320</v>
      </c>
      <c r="B356" s="209" t="s">
        <v>2307</v>
      </c>
      <c r="C356" s="209" t="s">
        <v>2321</v>
      </c>
      <c r="D356" s="209" t="s">
        <v>461</v>
      </c>
      <c r="E356" s="209" t="s">
        <v>1914</v>
      </c>
      <c r="F356" s="208">
        <v>1.5599999999999999E-2</v>
      </c>
      <c r="G356" s="208">
        <v>2.8610000000000002</v>
      </c>
      <c r="H356" s="209" t="s">
        <v>1916</v>
      </c>
      <c r="I356" s="209" t="s">
        <v>182</v>
      </c>
      <c r="J356" s="209" t="s">
        <v>2309</v>
      </c>
      <c r="K356" s="212" t="s">
        <v>2798</v>
      </c>
      <c r="L356" s="209"/>
      <c r="M356" s="208">
        <v>0</v>
      </c>
      <c r="N356" s="208">
        <v>1.012</v>
      </c>
      <c r="O356" s="208">
        <v>0</v>
      </c>
      <c r="P356" s="208">
        <v>1.2090000000000001</v>
      </c>
      <c r="Q356" s="208">
        <v>0</v>
      </c>
      <c r="R356" s="208">
        <v>0.82712985938792383</v>
      </c>
      <c r="S356" s="208">
        <v>0</v>
      </c>
      <c r="T356" s="208">
        <v>0.98814229249011853</v>
      </c>
      <c r="U356" s="280" t="s">
        <v>2310</v>
      </c>
    </row>
    <row r="357" spans="1:21" x14ac:dyDescent="0.25">
      <c r="A357" s="211" t="s">
        <v>1228</v>
      </c>
      <c r="B357" s="209" t="s">
        <v>2307</v>
      </c>
      <c r="C357" s="209" t="s">
        <v>2322</v>
      </c>
      <c r="D357" s="209" t="s">
        <v>461</v>
      </c>
      <c r="E357" s="209" t="s">
        <v>1914</v>
      </c>
      <c r="F357" s="208">
        <v>1.5599999999999999E-2</v>
      </c>
      <c r="G357" s="208">
        <v>2.8610000000000002</v>
      </c>
      <c r="H357" s="209" t="s">
        <v>1916</v>
      </c>
      <c r="I357" s="209" t="s">
        <v>182</v>
      </c>
      <c r="J357" s="209" t="s">
        <v>2309</v>
      </c>
      <c r="K357" s="212" t="s">
        <v>2798</v>
      </c>
      <c r="L357" s="209"/>
      <c r="M357" s="208">
        <v>0</v>
      </c>
      <c r="N357" s="208">
        <v>1.012</v>
      </c>
      <c r="O357" s="208">
        <v>0</v>
      </c>
      <c r="P357" s="208">
        <v>1.2090000000000001</v>
      </c>
      <c r="Q357" s="208">
        <v>0</v>
      </c>
      <c r="R357" s="208">
        <v>0.82712985938792383</v>
      </c>
      <c r="S357" s="208">
        <v>0</v>
      </c>
      <c r="T357" s="208">
        <v>0.98814229249011853</v>
      </c>
      <c r="U357" s="280" t="s">
        <v>2310</v>
      </c>
    </row>
    <row r="358" spans="1:21" x14ac:dyDescent="0.25">
      <c r="A358" s="211" t="s">
        <v>1232</v>
      </c>
      <c r="B358" s="209" t="s">
        <v>2307</v>
      </c>
      <c r="C358" s="209" t="s">
        <v>2328</v>
      </c>
      <c r="D358" s="209" t="s">
        <v>461</v>
      </c>
      <c r="E358" s="209" t="s">
        <v>1914</v>
      </c>
      <c r="F358" s="208">
        <v>1.5599999999999999E-2</v>
      </c>
      <c r="G358" s="208">
        <v>2.8610000000000002</v>
      </c>
      <c r="H358" s="209" t="s">
        <v>1916</v>
      </c>
      <c r="I358" s="209" t="s">
        <v>182</v>
      </c>
      <c r="J358" s="209" t="s">
        <v>2309</v>
      </c>
      <c r="K358" s="212" t="s">
        <v>2798</v>
      </c>
      <c r="L358" s="209"/>
      <c r="M358" s="208">
        <v>0</v>
      </c>
      <c r="N358" s="208">
        <v>1.012</v>
      </c>
      <c r="O358" s="208">
        <v>0</v>
      </c>
      <c r="P358" s="208">
        <v>1.2090000000000001</v>
      </c>
      <c r="Q358" s="208">
        <v>0</v>
      </c>
      <c r="R358" s="208">
        <v>0.82712985938792383</v>
      </c>
      <c r="S358" s="208">
        <v>0</v>
      </c>
      <c r="T358" s="208">
        <v>0.98814229249011853</v>
      </c>
      <c r="U358" s="280" t="s">
        <v>2310</v>
      </c>
    </row>
    <row r="359" spans="1:21" x14ac:dyDescent="0.25">
      <c r="A359" s="211" t="s">
        <v>1216</v>
      </c>
      <c r="B359" s="209" t="s">
        <v>2307</v>
      </c>
      <c r="C359" s="209" t="s">
        <v>2324</v>
      </c>
      <c r="D359" s="209" t="s">
        <v>461</v>
      </c>
      <c r="E359" s="209" t="s">
        <v>1914</v>
      </c>
      <c r="F359" s="208">
        <v>1.5599999999999999E-2</v>
      </c>
      <c r="G359" s="208">
        <v>2.8610000000000002</v>
      </c>
      <c r="H359" s="209" t="s">
        <v>1916</v>
      </c>
      <c r="I359" s="209" t="s">
        <v>182</v>
      </c>
      <c r="J359" s="209" t="s">
        <v>2309</v>
      </c>
      <c r="K359" s="212" t="s">
        <v>2798</v>
      </c>
      <c r="L359" s="209"/>
      <c r="M359" s="208">
        <v>0</v>
      </c>
      <c r="N359" s="208">
        <v>1.012</v>
      </c>
      <c r="O359" s="208">
        <v>0</v>
      </c>
      <c r="P359" s="208">
        <v>1.2090000000000001</v>
      </c>
      <c r="Q359" s="208">
        <v>0</v>
      </c>
      <c r="R359" s="208">
        <v>0.82712985938792383</v>
      </c>
      <c r="S359" s="208">
        <v>0</v>
      </c>
      <c r="T359" s="208">
        <v>0.98814229249011853</v>
      </c>
      <c r="U359" s="280" t="s">
        <v>2310</v>
      </c>
    </row>
    <row r="360" spans="1:21" x14ac:dyDescent="0.25">
      <c r="A360" s="211" t="s">
        <v>2325</v>
      </c>
      <c r="B360" s="209" t="s">
        <v>2307</v>
      </c>
      <c r="C360" s="209" t="s">
        <v>2326</v>
      </c>
      <c r="D360" s="209" t="s">
        <v>461</v>
      </c>
      <c r="E360" s="209" t="s">
        <v>1914</v>
      </c>
      <c r="F360" s="208">
        <v>1.5599999999999999E-2</v>
      </c>
      <c r="G360" s="208">
        <v>2.8610000000000002</v>
      </c>
      <c r="H360" s="209" t="s">
        <v>1916</v>
      </c>
      <c r="I360" s="209" t="s">
        <v>182</v>
      </c>
      <c r="J360" s="209" t="s">
        <v>2309</v>
      </c>
      <c r="K360" s="212" t="s">
        <v>2798</v>
      </c>
      <c r="L360" s="209"/>
      <c r="M360" s="208">
        <v>0</v>
      </c>
      <c r="N360" s="208">
        <v>1.012</v>
      </c>
      <c r="O360" s="208">
        <v>0</v>
      </c>
      <c r="P360" s="208">
        <v>1.2090000000000001</v>
      </c>
      <c r="Q360" s="208">
        <v>0</v>
      </c>
      <c r="R360" s="208">
        <v>0.82712985938792383</v>
      </c>
      <c r="S360" s="208">
        <v>0</v>
      </c>
      <c r="T360" s="208">
        <v>0.98814229249011853</v>
      </c>
      <c r="U360" s="280" t="s">
        <v>2310</v>
      </c>
    </row>
    <row r="361" spans="1:21" x14ac:dyDescent="0.25">
      <c r="A361" s="211" t="s">
        <v>1218</v>
      </c>
      <c r="B361" s="209" t="s">
        <v>2307</v>
      </c>
      <c r="C361" s="209" t="s">
        <v>2327</v>
      </c>
      <c r="D361" s="209" t="s">
        <v>461</v>
      </c>
      <c r="E361" s="209" t="s">
        <v>1914</v>
      </c>
      <c r="F361" s="208">
        <v>1.5599999999999999E-2</v>
      </c>
      <c r="G361" s="208">
        <v>2.8610000000000002</v>
      </c>
      <c r="H361" s="209" t="s">
        <v>1916</v>
      </c>
      <c r="I361" s="209" t="s">
        <v>182</v>
      </c>
      <c r="J361" s="209" t="s">
        <v>2309</v>
      </c>
      <c r="K361" s="212" t="s">
        <v>2798</v>
      </c>
      <c r="L361" s="209"/>
      <c r="M361" s="208">
        <v>0</v>
      </c>
      <c r="N361" s="208">
        <v>1.012</v>
      </c>
      <c r="O361" s="208">
        <v>0</v>
      </c>
      <c r="P361" s="208">
        <v>1.2090000000000001</v>
      </c>
      <c r="Q361" s="208">
        <v>0</v>
      </c>
      <c r="R361" s="208">
        <v>0.82712985938792383</v>
      </c>
      <c r="S361" s="208">
        <v>0</v>
      </c>
      <c r="T361" s="208">
        <v>0.98814229249011853</v>
      </c>
      <c r="U361" s="280" t="s">
        <v>2310</v>
      </c>
    </row>
    <row r="362" spans="1:21" x14ac:dyDescent="0.25">
      <c r="A362" s="211" t="s">
        <v>1612</v>
      </c>
      <c r="B362" s="209" t="s">
        <v>2536</v>
      </c>
      <c r="C362" s="209" t="s">
        <v>2544</v>
      </c>
      <c r="D362" s="209" t="s">
        <v>461</v>
      </c>
      <c r="E362" s="209" t="s">
        <v>1914</v>
      </c>
      <c r="F362" s="208">
        <v>5.0600000000000003E-3</v>
      </c>
      <c r="G362" s="208">
        <v>3.3340000000000001</v>
      </c>
      <c r="H362" s="209" t="s">
        <v>1916</v>
      </c>
      <c r="I362" s="209" t="s">
        <v>182</v>
      </c>
      <c r="J362" s="209" t="s">
        <v>2538</v>
      </c>
      <c r="K362" s="212" t="s">
        <v>2798</v>
      </c>
      <c r="L362" s="209" t="s">
        <v>2789</v>
      </c>
      <c r="M362" s="208">
        <v>0</v>
      </c>
      <c r="N362" s="208">
        <v>1.145</v>
      </c>
      <c r="O362" s="208">
        <v>0</v>
      </c>
      <c r="P362" s="208">
        <v>1.198</v>
      </c>
      <c r="Q362" s="208">
        <v>0</v>
      </c>
      <c r="R362" s="208">
        <v>0.8347245409015025</v>
      </c>
      <c r="S362" s="208">
        <v>0</v>
      </c>
      <c r="T362" s="208">
        <v>0.8733624454148472</v>
      </c>
      <c r="U362" s="280" t="s">
        <v>2539</v>
      </c>
    </row>
    <row r="363" spans="1:21" x14ac:dyDescent="0.25">
      <c r="A363" s="211" t="s">
        <v>2077</v>
      </c>
      <c r="B363" s="209" t="s">
        <v>2073</v>
      </c>
      <c r="C363" s="209" t="s">
        <v>1911</v>
      </c>
      <c r="D363" s="209" t="s">
        <v>461</v>
      </c>
      <c r="E363" s="209" t="s">
        <v>1914</v>
      </c>
      <c r="F363" s="208">
        <v>4.8399999999999997E-3</v>
      </c>
      <c r="G363" s="208">
        <v>3.04</v>
      </c>
      <c r="H363" s="209" t="s">
        <v>1916</v>
      </c>
      <c r="I363" s="209" t="s">
        <v>182</v>
      </c>
      <c r="J363" s="209" t="s">
        <v>1047</v>
      </c>
      <c r="K363" s="212" t="s">
        <v>2798</v>
      </c>
      <c r="L363" s="209"/>
      <c r="M363" s="208">
        <v>0</v>
      </c>
      <c r="N363" s="208">
        <v>1.0940000000000001</v>
      </c>
      <c r="O363" s="208">
        <v>0</v>
      </c>
      <c r="P363" s="208">
        <v>1.1679999999999999</v>
      </c>
      <c r="Q363" s="208">
        <v>0</v>
      </c>
      <c r="R363" s="208">
        <v>0.85616438356164393</v>
      </c>
      <c r="S363" s="208">
        <v>0</v>
      </c>
      <c r="T363" s="208">
        <v>0.91407678244972568</v>
      </c>
      <c r="U363" s="280" t="s">
        <v>2078</v>
      </c>
    </row>
    <row r="364" spans="1:21" x14ac:dyDescent="0.25">
      <c r="A364" s="211" t="s">
        <v>1047</v>
      </c>
      <c r="B364" s="209" t="s">
        <v>2073</v>
      </c>
      <c r="C364" s="209" t="s">
        <v>2079</v>
      </c>
      <c r="D364" s="209" t="s">
        <v>461</v>
      </c>
      <c r="E364" s="209" t="s">
        <v>1914</v>
      </c>
      <c r="F364" s="208">
        <v>4.8399999999999997E-3</v>
      </c>
      <c r="G364" s="208">
        <v>3.04</v>
      </c>
      <c r="H364" s="209" t="s">
        <v>1916</v>
      </c>
      <c r="I364" s="209" t="s">
        <v>182</v>
      </c>
      <c r="J364" s="209" t="s">
        <v>1917</v>
      </c>
      <c r="K364" s="212" t="s">
        <v>2798</v>
      </c>
      <c r="L364" s="209"/>
      <c r="M364" s="208">
        <v>0</v>
      </c>
      <c r="N364" s="208">
        <v>1.0940000000000001</v>
      </c>
      <c r="O364" s="208">
        <v>0</v>
      </c>
      <c r="P364" s="208">
        <v>1.1679999999999999</v>
      </c>
      <c r="Q364" s="208">
        <v>0</v>
      </c>
      <c r="R364" s="208">
        <v>0.85616438356164393</v>
      </c>
      <c r="S364" s="208">
        <v>0</v>
      </c>
      <c r="T364" s="208">
        <v>0.91407678244972568</v>
      </c>
      <c r="U364" s="280" t="s">
        <v>2078</v>
      </c>
    </row>
    <row r="365" spans="1:21" x14ac:dyDescent="0.25">
      <c r="A365" s="211" t="s">
        <v>2080</v>
      </c>
      <c r="B365" s="209" t="s">
        <v>2073</v>
      </c>
      <c r="C365" s="209" t="s">
        <v>2081</v>
      </c>
      <c r="D365" s="209" t="s">
        <v>461</v>
      </c>
      <c r="E365" s="209" t="s">
        <v>1914</v>
      </c>
      <c r="F365" s="208">
        <v>4.8399999999999997E-3</v>
      </c>
      <c r="G365" s="208">
        <v>3.04</v>
      </c>
      <c r="H365" s="209" t="s">
        <v>1916</v>
      </c>
      <c r="I365" s="209" t="s">
        <v>182</v>
      </c>
      <c r="J365" s="209" t="s">
        <v>1047</v>
      </c>
      <c r="K365" s="212" t="s">
        <v>2798</v>
      </c>
      <c r="L365" s="209"/>
      <c r="M365" s="208">
        <v>0</v>
      </c>
      <c r="N365" s="208">
        <v>1.0940000000000001</v>
      </c>
      <c r="O365" s="208">
        <v>0</v>
      </c>
      <c r="P365" s="208">
        <v>1.1679999999999999</v>
      </c>
      <c r="Q365" s="208">
        <v>0</v>
      </c>
      <c r="R365" s="208">
        <v>0.85616438356164393</v>
      </c>
      <c r="S365" s="208">
        <v>0</v>
      </c>
      <c r="T365" s="208">
        <v>0.91407678244972568</v>
      </c>
      <c r="U365" s="280" t="s">
        <v>2078</v>
      </c>
    </row>
    <row r="366" spans="1:21" x14ac:dyDescent="0.25">
      <c r="A366" s="211" t="s">
        <v>2082</v>
      </c>
      <c r="B366" s="209" t="s">
        <v>2073</v>
      </c>
      <c r="C366" s="209" t="s">
        <v>2083</v>
      </c>
      <c r="D366" s="209" t="s">
        <v>461</v>
      </c>
      <c r="E366" s="209" t="s">
        <v>1914</v>
      </c>
      <c r="F366" s="208">
        <v>4.8399999999999997E-3</v>
      </c>
      <c r="G366" s="208">
        <v>3.04</v>
      </c>
      <c r="H366" s="209" t="s">
        <v>1916</v>
      </c>
      <c r="I366" s="209" t="s">
        <v>182</v>
      </c>
      <c r="J366" s="209" t="s">
        <v>1047</v>
      </c>
      <c r="K366" s="212" t="s">
        <v>2798</v>
      </c>
      <c r="L366" s="209"/>
      <c r="M366" s="208">
        <v>0</v>
      </c>
      <c r="N366" s="208">
        <v>1.0940000000000001</v>
      </c>
      <c r="O366" s="208">
        <v>0</v>
      </c>
      <c r="P366" s="208">
        <v>1.1679999999999999</v>
      </c>
      <c r="Q366" s="208">
        <v>0</v>
      </c>
      <c r="R366" s="208">
        <v>0.85616438356164393</v>
      </c>
      <c r="S366" s="208">
        <v>0</v>
      </c>
      <c r="T366" s="208">
        <v>0.91407678244972568</v>
      </c>
      <c r="U366" s="280" t="s">
        <v>2078</v>
      </c>
    </row>
    <row r="367" spans="1:21" x14ac:dyDescent="0.25">
      <c r="A367" s="209" t="s">
        <v>1555</v>
      </c>
      <c r="B367" s="209" t="s">
        <v>2491</v>
      </c>
      <c r="C367" s="209" t="s">
        <v>2492</v>
      </c>
      <c r="D367" s="209" t="s">
        <v>461</v>
      </c>
      <c r="E367" s="209" t="s">
        <v>1914</v>
      </c>
      <c r="F367" s="208">
        <v>1.4421613E-2</v>
      </c>
      <c r="G367" s="208">
        <v>3.0684109679999998</v>
      </c>
      <c r="H367" s="209" t="s">
        <v>1916</v>
      </c>
      <c r="I367" s="209" t="s">
        <v>182</v>
      </c>
      <c r="J367" s="209" t="s">
        <v>1924</v>
      </c>
      <c r="K367" s="212" t="s">
        <v>2798</v>
      </c>
      <c r="L367" s="209"/>
      <c r="M367" s="208">
        <v>0</v>
      </c>
      <c r="N367" s="208">
        <v>1</v>
      </c>
      <c r="O367" s="208">
        <v>0</v>
      </c>
      <c r="P367" s="208">
        <v>1.2180267965895251</v>
      </c>
      <c r="Q367" s="208">
        <v>0</v>
      </c>
      <c r="R367" s="208">
        <v>0.82099999999999995</v>
      </c>
      <c r="S367" s="208">
        <v>0</v>
      </c>
      <c r="T367" s="208">
        <v>1</v>
      </c>
      <c r="U367" s="280" t="s">
        <v>2493</v>
      </c>
    </row>
    <row r="368" spans="1:21" x14ac:dyDescent="0.25">
      <c r="A368" s="211" t="s">
        <v>2288</v>
      </c>
      <c r="B368" s="209" t="s">
        <v>2282</v>
      </c>
      <c r="C368" s="209" t="s">
        <v>2289</v>
      </c>
      <c r="D368" s="209" t="s">
        <v>450</v>
      </c>
      <c r="E368" s="209" t="s">
        <v>1914</v>
      </c>
      <c r="F368" s="208">
        <v>1.8813239436619712E-2</v>
      </c>
      <c r="G368" s="208">
        <v>3.0291915492957733</v>
      </c>
      <c r="H368" s="209" t="s">
        <v>1916</v>
      </c>
      <c r="I368" s="209" t="s">
        <v>182</v>
      </c>
      <c r="J368" s="209" t="s">
        <v>1924</v>
      </c>
      <c r="K368" s="212" t="s">
        <v>2798</v>
      </c>
      <c r="L368" s="209"/>
      <c r="M368" s="208">
        <v>0</v>
      </c>
      <c r="N368" s="208">
        <v>1</v>
      </c>
      <c r="O368" s="208">
        <v>0</v>
      </c>
      <c r="P368" s="208">
        <v>1.2690355329949239</v>
      </c>
      <c r="Q368" s="208">
        <v>0</v>
      </c>
      <c r="R368" s="208">
        <v>0.78800000000000003</v>
      </c>
      <c r="S368" s="208">
        <v>0</v>
      </c>
      <c r="T368" s="208">
        <v>1</v>
      </c>
      <c r="U368" s="280" t="s">
        <v>2283</v>
      </c>
    </row>
    <row r="369" spans="1:21" x14ac:dyDescent="0.25">
      <c r="A369" s="211" t="s">
        <v>2290</v>
      </c>
      <c r="B369" s="209" t="s">
        <v>2282</v>
      </c>
      <c r="C369" s="209" t="s">
        <v>2291</v>
      </c>
      <c r="D369" s="209" t="s">
        <v>450</v>
      </c>
      <c r="E369" s="209" t="s">
        <v>1914</v>
      </c>
      <c r="F369" s="208">
        <v>1.8813239436619712E-2</v>
      </c>
      <c r="G369" s="208">
        <v>3.0291915492957733</v>
      </c>
      <c r="H369" s="209" t="s">
        <v>1916</v>
      </c>
      <c r="I369" s="209" t="s">
        <v>182</v>
      </c>
      <c r="J369" s="209" t="s">
        <v>1924</v>
      </c>
      <c r="K369" s="212" t="s">
        <v>2798</v>
      </c>
      <c r="L369" s="209"/>
      <c r="M369" s="208">
        <v>0</v>
      </c>
      <c r="N369" s="208">
        <v>1</v>
      </c>
      <c r="O369" s="208">
        <v>0</v>
      </c>
      <c r="P369" s="208">
        <v>1.2690355329949239</v>
      </c>
      <c r="Q369" s="208">
        <v>0</v>
      </c>
      <c r="R369" s="208">
        <v>0.78800000000000003</v>
      </c>
      <c r="S369" s="208">
        <v>0</v>
      </c>
      <c r="T369" s="208">
        <v>1</v>
      </c>
      <c r="U369" s="280" t="s">
        <v>2283</v>
      </c>
    </row>
    <row r="370" spans="1:21" x14ac:dyDescent="0.25">
      <c r="A370" s="211" t="s">
        <v>1203</v>
      </c>
      <c r="B370" s="209" t="s">
        <v>2282</v>
      </c>
      <c r="C370" s="209" t="s">
        <v>2292</v>
      </c>
      <c r="D370" s="209" t="s">
        <v>450</v>
      </c>
      <c r="E370" s="209" t="s">
        <v>1914</v>
      </c>
      <c r="F370" s="208">
        <v>1.8813239436619712E-2</v>
      </c>
      <c r="G370" s="208">
        <v>3.0291915492957733</v>
      </c>
      <c r="H370" s="209" t="s">
        <v>1916</v>
      </c>
      <c r="I370" s="209" t="s">
        <v>182</v>
      </c>
      <c r="J370" s="209" t="s">
        <v>1924</v>
      </c>
      <c r="K370" s="212" t="s">
        <v>2798</v>
      </c>
      <c r="L370" s="209"/>
      <c r="M370" s="208">
        <v>0</v>
      </c>
      <c r="N370" s="208">
        <v>1</v>
      </c>
      <c r="O370" s="208">
        <v>0</v>
      </c>
      <c r="P370" s="208">
        <v>1.2690355329949239</v>
      </c>
      <c r="Q370" s="208">
        <v>0</v>
      </c>
      <c r="R370" s="208">
        <v>0.78800000000000003</v>
      </c>
      <c r="S370" s="208">
        <v>0</v>
      </c>
      <c r="T370" s="208">
        <v>1</v>
      </c>
      <c r="U370" s="280" t="s">
        <v>2283</v>
      </c>
    </row>
    <row r="371" spans="1:21" x14ac:dyDescent="0.25">
      <c r="A371" s="211" t="s">
        <v>2293</v>
      </c>
      <c r="B371" s="209" t="s">
        <v>2282</v>
      </c>
      <c r="C371" s="209" t="s">
        <v>2294</v>
      </c>
      <c r="D371" s="209" t="s">
        <v>450</v>
      </c>
      <c r="E371" s="209" t="s">
        <v>1914</v>
      </c>
      <c r="F371" s="208">
        <v>1.8813239436619712E-2</v>
      </c>
      <c r="G371" s="208">
        <v>3.0291915492957733</v>
      </c>
      <c r="H371" s="209" t="s">
        <v>1916</v>
      </c>
      <c r="I371" s="209" t="s">
        <v>182</v>
      </c>
      <c r="J371" s="209" t="s">
        <v>1924</v>
      </c>
      <c r="K371" s="212" t="s">
        <v>2798</v>
      </c>
      <c r="L371" s="209"/>
      <c r="M371" s="208">
        <v>0</v>
      </c>
      <c r="N371" s="208">
        <v>1</v>
      </c>
      <c r="O371" s="208">
        <v>0</v>
      </c>
      <c r="P371" s="208">
        <v>1.2690355329949239</v>
      </c>
      <c r="Q371" s="208">
        <v>0</v>
      </c>
      <c r="R371" s="208">
        <v>0.78800000000000003</v>
      </c>
      <c r="S371" s="208">
        <v>0</v>
      </c>
      <c r="T371" s="208">
        <v>1</v>
      </c>
      <c r="U371" s="280" t="s">
        <v>2283</v>
      </c>
    </row>
    <row r="372" spans="1:21" x14ac:dyDescent="0.25">
      <c r="A372" s="211" t="s">
        <v>2295</v>
      </c>
      <c r="B372" s="209" t="s">
        <v>2282</v>
      </c>
      <c r="C372" s="209" t="s">
        <v>2296</v>
      </c>
      <c r="D372" s="209" t="s">
        <v>450</v>
      </c>
      <c r="E372" s="209" t="s">
        <v>1914</v>
      </c>
      <c r="F372" s="208">
        <v>1.8813239436619712E-2</v>
      </c>
      <c r="G372" s="208">
        <v>3.0291915492957733</v>
      </c>
      <c r="H372" s="209" t="s">
        <v>1916</v>
      </c>
      <c r="I372" s="209" t="s">
        <v>182</v>
      </c>
      <c r="J372" s="209" t="s">
        <v>1924</v>
      </c>
      <c r="K372" s="212" t="s">
        <v>2798</v>
      </c>
      <c r="L372" s="209"/>
      <c r="M372" s="208">
        <v>0</v>
      </c>
      <c r="N372" s="208">
        <v>1</v>
      </c>
      <c r="O372" s="208">
        <v>0</v>
      </c>
      <c r="P372" s="208">
        <v>1.2690355329949239</v>
      </c>
      <c r="Q372" s="208">
        <v>0</v>
      </c>
      <c r="R372" s="208">
        <v>0.78800000000000003</v>
      </c>
      <c r="S372" s="208">
        <v>0</v>
      </c>
      <c r="T372" s="208">
        <v>1</v>
      </c>
      <c r="U372" s="280" t="s">
        <v>2283</v>
      </c>
    </row>
    <row r="373" spans="1:21" x14ac:dyDescent="0.25">
      <c r="A373" s="211" t="s">
        <v>2297</v>
      </c>
      <c r="B373" s="209" t="s">
        <v>2282</v>
      </c>
      <c r="C373" s="209" t="s">
        <v>2298</v>
      </c>
      <c r="D373" s="209" t="s">
        <v>450</v>
      </c>
      <c r="E373" s="209" t="s">
        <v>1914</v>
      </c>
      <c r="F373" s="208">
        <v>1.8813239436619712E-2</v>
      </c>
      <c r="G373" s="208">
        <v>3.0291915492957733</v>
      </c>
      <c r="H373" s="209" t="s">
        <v>1916</v>
      </c>
      <c r="I373" s="209" t="s">
        <v>182</v>
      </c>
      <c r="J373" s="209" t="s">
        <v>1924</v>
      </c>
      <c r="K373" s="212" t="s">
        <v>2798</v>
      </c>
      <c r="L373" s="209"/>
      <c r="M373" s="208">
        <v>0</v>
      </c>
      <c r="N373" s="208">
        <v>1</v>
      </c>
      <c r="O373" s="208">
        <v>0</v>
      </c>
      <c r="P373" s="208">
        <v>1.2690355329949239</v>
      </c>
      <c r="Q373" s="208">
        <v>0</v>
      </c>
      <c r="R373" s="208">
        <v>0.78800000000000003</v>
      </c>
      <c r="S373" s="208">
        <v>0</v>
      </c>
      <c r="T373" s="208">
        <v>1</v>
      </c>
      <c r="U373" s="280" t="s">
        <v>2283</v>
      </c>
    </row>
    <row r="374" spans="1:21" x14ac:dyDescent="0.25">
      <c r="A374" s="211" t="s">
        <v>2299</v>
      </c>
      <c r="B374" s="209" t="s">
        <v>2282</v>
      </c>
      <c r="C374" s="209" t="s">
        <v>2300</v>
      </c>
      <c r="D374" s="209" t="s">
        <v>450</v>
      </c>
      <c r="E374" s="209" t="s">
        <v>1914</v>
      </c>
      <c r="F374" s="208">
        <v>1.8813239436619712E-2</v>
      </c>
      <c r="G374" s="208">
        <v>3.0291915492957733</v>
      </c>
      <c r="H374" s="209" t="s">
        <v>1916</v>
      </c>
      <c r="I374" s="209" t="s">
        <v>182</v>
      </c>
      <c r="J374" s="209" t="s">
        <v>1924</v>
      </c>
      <c r="K374" s="212" t="s">
        <v>2798</v>
      </c>
      <c r="L374" s="209"/>
      <c r="M374" s="208">
        <v>0</v>
      </c>
      <c r="N374" s="208">
        <v>1</v>
      </c>
      <c r="O374" s="208">
        <v>0</v>
      </c>
      <c r="P374" s="208">
        <v>1.2690355329949239</v>
      </c>
      <c r="Q374" s="208">
        <v>0</v>
      </c>
      <c r="R374" s="208">
        <v>0.78800000000000003</v>
      </c>
      <c r="S374" s="208">
        <v>0</v>
      </c>
      <c r="T374" s="208">
        <v>1</v>
      </c>
      <c r="U374" s="280" t="s">
        <v>2283</v>
      </c>
    </row>
    <row r="375" spans="1:21" x14ac:dyDescent="0.25">
      <c r="A375" s="211" t="s">
        <v>1205</v>
      </c>
      <c r="B375" s="209" t="s">
        <v>2282</v>
      </c>
      <c r="C375" s="209" t="s">
        <v>2301</v>
      </c>
      <c r="D375" s="209" t="s">
        <v>450</v>
      </c>
      <c r="E375" s="209" t="s">
        <v>1914</v>
      </c>
      <c r="F375" s="208">
        <v>1.8813239436619712E-2</v>
      </c>
      <c r="G375" s="208">
        <v>3.0291915492957733</v>
      </c>
      <c r="H375" s="209" t="s">
        <v>1916</v>
      </c>
      <c r="I375" s="209" t="s">
        <v>182</v>
      </c>
      <c r="J375" s="209" t="s">
        <v>1924</v>
      </c>
      <c r="K375" s="212" t="s">
        <v>2798</v>
      </c>
      <c r="L375" s="209"/>
      <c r="M375" s="208">
        <v>0</v>
      </c>
      <c r="N375" s="208">
        <v>1</v>
      </c>
      <c r="O375" s="208">
        <v>0</v>
      </c>
      <c r="P375" s="208">
        <v>1.2690355329949239</v>
      </c>
      <c r="Q375" s="208">
        <v>0</v>
      </c>
      <c r="R375" s="208">
        <v>0.78800000000000003</v>
      </c>
      <c r="S375" s="208">
        <v>0</v>
      </c>
      <c r="T375" s="208">
        <v>1</v>
      </c>
      <c r="U375" s="280" t="s">
        <v>2283</v>
      </c>
    </row>
    <row r="376" spans="1:21" x14ac:dyDescent="0.25">
      <c r="A376" s="211" t="s">
        <v>2304</v>
      </c>
      <c r="B376" s="209" t="s">
        <v>2282</v>
      </c>
      <c r="C376" s="209" t="s">
        <v>2305</v>
      </c>
      <c r="D376" s="209" t="s">
        <v>450</v>
      </c>
      <c r="E376" s="209" t="s">
        <v>1914</v>
      </c>
      <c r="F376" s="208">
        <v>1.8813239436619712E-2</v>
      </c>
      <c r="G376" s="208">
        <v>3.0291915492957733</v>
      </c>
      <c r="H376" s="209" t="s">
        <v>1916</v>
      </c>
      <c r="I376" s="209" t="s">
        <v>182</v>
      </c>
      <c r="J376" s="209" t="s">
        <v>1924</v>
      </c>
      <c r="K376" s="212" t="s">
        <v>2798</v>
      </c>
      <c r="L376" s="209"/>
      <c r="M376" s="208">
        <v>0</v>
      </c>
      <c r="N376" s="208">
        <v>1</v>
      </c>
      <c r="O376" s="208">
        <v>0</v>
      </c>
      <c r="P376" s="208">
        <v>1.2690355329949239</v>
      </c>
      <c r="Q376" s="208">
        <v>0</v>
      </c>
      <c r="R376" s="208">
        <v>0.78800000000000003</v>
      </c>
      <c r="S376" s="208">
        <v>0</v>
      </c>
      <c r="T376" s="208">
        <v>1</v>
      </c>
      <c r="U376" s="280" t="s">
        <v>2283</v>
      </c>
    </row>
    <row r="377" spans="1:21" x14ac:dyDescent="0.25">
      <c r="A377" s="211" t="s">
        <v>1117</v>
      </c>
      <c r="B377" s="209" t="s">
        <v>2235</v>
      </c>
      <c r="C377" s="209" t="s">
        <v>2238</v>
      </c>
      <c r="D377" s="209" t="s">
        <v>461</v>
      </c>
      <c r="E377" s="209" t="s">
        <v>1914</v>
      </c>
      <c r="F377" s="208">
        <v>5.1375342465753444E-3</v>
      </c>
      <c r="G377" s="208">
        <v>3.1080301369863021</v>
      </c>
      <c r="H377" s="209" t="s">
        <v>1916</v>
      </c>
      <c r="I377" s="209" t="s">
        <v>182</v>
      </c>
      <c r="J377" s="209" t="s">
        <v>1924</v>
      </c>
      <c r="K377" s="212" t="s">
        <v>2798</v>
      </c>
      <c r="L377" s="209"/>
      <c r="M377" s="208">
        <v>0</v>
      </c>
      <c r="N377" s="208">
        <v>1.0111223458038423</v>
      </c>
      <c r="O377" s="208">
        <v>0</v>
      </c>
      <c r="P377" s="208">
        <v>1.1198208286674132</v>
      </c>
      <c r="Q377" s="208">
        <v>0</v>
      </c>
      <c r="R377" s="208">
        <v>0.89300000000000002</v>
      </c>
      <c r="S377" s="208">
        <v>0</v>
      </c>
      <c r="T377" s="208">
        <v>0.98899999999999999</v>
      </c>
      <c r="U377" s="280" t="s">
        <v>2237</v>
      </c>
    </row>
    <row r="378" spans="1:21" x14ac:dyDescent="0.25">
      <c r="A378" s="211" t="s">
        <v>1590</v>
      </c>
      <c r="B378" s="209" t="s">
        <v>2491</v>
      </c>
      <c r="C378" s="209" t="s">
        <v>2519</v>
      </c>
      <c r="D378" s="209" t="s">
        <v>461</v>
      </c>
      <c r="E378" s="209" t="s">
        <v>1914</v>
      </c>
      <c r="F378" s="208">
        <v>1.4421613E-2</v>
      </c>
      <c r="G378" s="208">
        <v>3.0684109679999998</v>
      </c>
      <c r="H378" s="209" t="s">
        <v>1916</v>
      </c>
      <c r="I378" s="209" t="s">
        <v>182</v>
      </c>
      <c r="J378" s="209" t="s">
        <v>1924</v>
      </c>
      <c r="K378" s="212" t="s">
        <v>2798</v>
      </c>
      <c r="L378" s="209"/>
      <c r="M378" s="208">
        <v>0</v>
      </c>
      <c r="N378" s="208">
        <v>1</v>
      </c>
      <c r="O378" s="208">
        <v>0</v>
      </c>
      <c r="P378" s="208">
        <v>1.2180267965895251</v>
      </c>
      <c r="Q378" s="208">
        <v>0</v>
      </c>
      <c r="R378" s="208">
        <v>0.82099999999999995</v>
      </c>
      <c r="S378" s="208">
        <v>0</v>
      </c>
      <c r="T378" s="208">
        <v>1</v>
      </c>
      <c r="U378" s="280" t="s">
        <v>2493</v>
      </c>
    </row>
    <row r="379" spans="1:21" x14ac:dyDescent="0.25">
      <c r="A379" s="211" t="s">
        <v>2406</v>
      </c>
      <c r="B379" s="209" t="s">
        <v>1911</v>
      </c>
      <c r="C379" s="209" t="s">
        <v>1911</v>
      </c>
      <c r="D379" s="209" t="s">
        <v>461</v>
      </c>
      <c r="E379" s="209" t="s">
        <v>1914</v>
      </c>
      <c r="F379" s="208">
        <v>8.9999999999999993E-3</v>
      </c>
      <c r="G379" s="208">
        <v>3.02</v>
      </c>
      <c r="H379" s="209" t="s">
        <v>1916</v>
      </c>
      <c r="I379" s="209" t="s">
        <v>182</v>
      </c>
      <c r="J379" s="209" t="s">
        <v>1924</v>
      </c>
      <c r="K379" s="212" t="s">
        <v>2798</v>
      </c>
      <c r="L379" s="209"/>
      <c r="M379" s="218" t="s">
        <v>147</v>
      </c>
      <c r="N379" s="218" t="s">
        <v>147</v>
      </c>
      <c r="O379" s="218" t="s">
        <v>147</v>
      </c>
      <c r="P379" s="218" t="s">
        <v>147</v>
      </c>
      <c r="Q379" s="218" t="s">
        <v>147</v>
      </c>
      <c r="R379" s="218" t="s">
        <v>147</v>
      </c>
      <c r="S379" s="218" t="s">
        <v>147</v>
      </c>
      <c r="T379" s="218" t="s">
        <v>147</v>
      </c>
      <c r="U379" s="280" t="s">
        <v>1911</v>
      </c>
    </row>
    <row r="380" spans="1:21" x14ac:dyDescent="0.25">
      <c r="A380" s="211" t="s">
        <v>2407</v>
      </c>
      <c r="B380" s="209" t="s">
        <v>1911</v>
      </c>
      <c r="C380" s="209" t="s">
        <v>2408</v>
      </c>
      <c r="D380" s="209" t="s">
        <v>461</v>
      </c>
      <c r="E380" s="209" t="s">
        <v>1914</v>
      </c>
      <c r="F380" s="208">
        <v>8.9999999999999993E-3</v>
      </c>
      <c r="G380" s="208">
        <v>3.02</v>
      </c>
      <c r="H380" s="209" t="s">
        <v>1916</v>
      </c>
      <c r="I380" s="209" t="s">
        <v>182</v>
      </c>
      <c r="J380" s="209" t="s">
        <v>1924</v>
      </c>
      <c r="K380" s="212" t="s">
        <v>2798</v>
      </c>
      <c r="L380" s="209"/>
      <c r="M380" s="218" t="s">
        <v>147</v>
      </c>
      <c r="N380" s="218" t="s">
        <v>147</v>
      </c>
      <c r="O380" s="218" t="s">
        <v>147</v>
      </c>
      <c r="P380" s="218" t="s">
        <v>147</v>
      </c>
      <c r="Q380" s="218" t="s">
        <v>147</v>
      </c>
      <c r="R380" s="218" t="s">
        <v>147</v>
      </c>
      <c r="S380" s="218" t="s">
        <v>147</v>
      </c>
      <c r="T380" s="218" t="s">
        <v>147</v>
      </c>
      <c r="U380" s="280" t="s">
        <v>1911</v>
      </c>
    </row>
    <row r="381" spans="1:21" x14ac:dyDescent="0.25">
      <c r="A381" s="211" t="s">
        <v>2409</v>
      </c>
      <c r="B381" s="209" t="s">
        <v>1911</v>
      </c>
      <c r="C381" s="209" t="s">
        <v>1911</v>
      </c>
      <c r="D381" s="209" t="s">
        <v>461</v>
      </c>
      <c r="E381" s="209" t="s">
        <v>1914</v>
      </c>
      <c r="F381" s="208">
        <v>8.9999999999999993E-3</v>
      </c>
      <c r="G381" s="208">
        <v>3.02</v>
      </c>
      <c r="H381" s="209" t="s">
        <v>1916</v>
      </c>
      <c r="I381" s="209" t="s">
        <v>182</v>
      </c>
      <c r="J381" s="209" t="s">
        <v>1924</v>
      </c>
      <c r="K381" s="212" t="s">
        <v>2798</v>
      </c>
      <c r="L381" s="209"/>
      <c r="M381" s="218" t="s">
        <v>147</v>
      </c>
      <c r="N381" s="218" t="s">
        <v>147</v>
      </c>
      <c r="O381" s="218" t="s">
        <v>147</v>
      </c>
      <c r="P381" s="218" t="s">
        <v>147</v>
      </c>
      <c r="Q381" s="218" t="s">
        <v>147</v>
      </c>
      <c r="R381" s="218" t="s">
        <v>147</v>
      </c>
      <c r="S381" s="218" t="s">
        <v>147</v>
      </c>
      <c r="T381" s="218" t="s">
        <v>147</v>
      </c>
      <c r="U381" s="280" t="s">
        <v>1911</v>
      </c>
    </row>
    <row r="382" spans="1:21" x14ac:dyDescent="0.25">
      <c r="A382" s="209" t="s">
        <v>1036</v>
      </c>
      <c r="B382" s="209" t="s">
        <v>2073</v>
      </c>
      <c r="C382" s="209" t="s">
        <v>2074</v>
      </c>
      <c r="D382" s="209" t="s">
        <v>461</v>
      </c>
      <c r="E382" s="209" t="s">
        <v>1914</v>
      </c>
      <c r="F382" s="208">
        <v>4.0000000000000002E-4</v>
      </c>
      <c r="G382" s="208">
        <v>3.972</v>
      </c>
      <c r="H382" s="209" t="s">
        <v>1916</v>
      </c>
      <c r="I382" s="209" t="s">
        <v>182</v>
      </c>
      <c r="J382" s="209" t="s">
        <v>1049</v>
      </c>
      <c r="K382" s="212" t="s">
        <v>2798</v>
      </c>
      <c r="L382" s="209"/>
      <c r="M382" s="281"/>
      <c r="N382" s="281"/>
      <c r="O382" s="208">
        <v>0</v>
      </c>
      <c r="P382" s="208">
        <v>1.1467889908256881</v>
      </c>
      <c r="Q382" s="208">
        <v>0</v>
      </c>
      <c r="R382" s="208">
        <v>0.872</v>
      </c>
      <c r="S382" s="281"/>
      <c r="T382" s="281"/>
      <c r="U382" s="280" t="s">
        <v>2075</v>
      </c>
    </row>
    <row r="383" spans="1:21" x14ac:dyDescent="0.25">
      <c r="A383" s="211" t="s">
        <v>2084</v>
      </c>
      <c r="B383" s="209" t="s">
        <v>2073</v>
      </c>
      <c r="C383" s="209" t="s">
        <v>2085</v>
      </c>
      <c r="D383" s="209" t="s">
        <v>461</v>
      </c>
      <c r="E383" s="209" t="s">
        <v>1914</v>
      </c>
      <c r="F383" s="208">
        <v>4.8399999999999997E-3</v>
      </c>
      <c r="G383" s="208">
        <v>3.04</v>
      </c>
      <c r="H383" s="209" t="s">
        <v>1916</v>
      </c>
      <c r="I383" s="209" t="s">
        <v>182</v>
      </c>
      <c r="J383" s="209" t="s">
        <v>1047</v>
      </c>
      <c r="K383" s="212" t="s">
        <v>2798</v>
      </c>
      <c r="L383" s="209"/>
      <c r="M383" s="208">
        <v>0</v>
      </c>
      <c r="N383" s="208">
        <v>1.0940000000000001</v>
      </c>
      <c r="O383" s="208">
        <v>0</v>
      </c>
      <c r="P383" s="208">
        <v>1.1679999999999999</v>
      </c>
      <c r="Q383" s="208">
        <v>0</v>
      </c>
      <c r="R383" s="208">
        <v>0.85616438356164393</v>
      </c>
      <c r="S383" s="208">
        <v>0</v>
      </c>
      <c r="T383" s="208">
        <v>0.91407678244972568</v>
      </c>
      <c r="U383" s="280" t="s">
        <v>2078</v>
      </c>
    </row>
    <row r="384" spans="1:21" x14ac:dyDescent="0.25">
      <c r="A384" s="211" t="s">
        <v>1039</v>
      </c>
      <c r="B384" s="209" t="s">
        <v>2073</v>
      </c>
      <c r="C384" s="209" t="s">
        <v>2086</v>
      </c>
      <c r="D384" s="209" t="s">
        <v>461</v>
      </c>
      <c r="E384" s="209" t="s">
        <v>1914</v>
      </c>
      <c r="F384" s="208">
        <v>4.8399999999999997E-3</v>
      </c>
      <c r="G384" s="208">
        <v>3.04</v>
      </c>
      <c r="H384" s="209" t="s">
        <v>1916</v>
      </c>
      <c r="I384" s="209" t="s">
        <v>182</v>
      </c>
      <c r="J384" s="209" t="s">
        <v>1047</v>
      </c>
      <c r="K384" s="212" t="s">
        <v>2798</v>
      </c>
      <c r="L384" s="209"/>
      <c r="M384" s="208">
        <v>0</v>
      </c>
      <c r="N384" s="208">
        <v>1.0940000000000001</v>
      </c>
      <c r="O384" s="208">
        <v>0</v>
      </c>
      <c r="P384" s="208">
        <v>1.1679999999999999</v>
      </c>
      <c r="Q384" s="208">
        <v>0</v>
      </c>
      <c r="R384" s="208">
        <v>0.85616438356164393</v>
      </c>
      <c r="S384" s="208">
        <v>0</v>
      </c>
      <c r="T384" s="208">
        <v>0.91407678244972568</v>
      </c>
      <c r="U384" s="280" t="s">
        <v>2078</v>
      </c>
    </row>
    <row r="385" spans="1:21" x14ac:dyDescent="0.25">
      <c r="A385" s="211" t="s">
        <v>1041</v>
      </c>
      <c r="B385" s="209" t="s">
        <v>2073</v>
      </c>
      <c r="C385" s="209" t="s">
        <v>2087</v>
      </c>
      <c r="D385" s="209" t="s">
        <v>461</v>
      </c>
      <c r="E385" s="209" t="s">
        <v>1914</v>
      </c>
      <c r="F385" s="208">
        <v>4.8399999999999997E-3</v>
      </c>
      <c r="G385" s="208">
        <v>3.04</v>
      </c>
      <c r="H385" s="209" t="s">
        <v>1916</v>
      </c>
      <c r="I385" s="209" t="s">
        <v>182</v>
      </c>
      <c r="J385" s="209" t="s">
        <v>1047</v>
      </c>
      <c r="K385" s="212" t="s">
        <v>2798</v>
      </c>
      <c r="L385" s="209"/>
      <c r="M385" s="208">
        <v>0</v>
      </c>
      <c r="N385" s="208">
        <v>1.0940000000000001</v>
      </c>
      <c r="O385" s="208">
        <v>0</v>
      </c>
      <c r="P385" s="208">
        <v>1.1679999999999999</v>
      </c>
      <c r="Q385" s="208">
        <v>0</v>
      </c>
      <c r="R385" s="208">
        <v>0.85616438356164393</v>
      </c>
      <c r="S385" s="208">
        <v>0</v>
      </c>
      <c r="T385" s="208">
        <v>0.91407678244972568</v>
      </c>
      <c r="U385" s="280" t="s">
        <v>2078</v>
      </c>
    </row>
    <row r="386" spans="1:21" x14ac:dyDescent="0.25">
      <c r="A386" s="211" t="s">
        <v>1043</v>
      </c>
      <c r="B386" s="209" t="s">
        <v>2073</v>
      </c>
      <c r="C386" s="209" t="s">
        <v>2088</v>
      </c>
      <c r="D386" s="209" t="s">
        <v>461</v>
      </c>
      <c r="E386" s="209" t="s">
        <v>1914</v>
      </c>
      <c r="F386" s="208">
        <v>4.8399999999999997E-3</v>
      </c>
      <c r="G386" s="208">
        <v>3.04</v>
      </c>
      <c r="H386" s="209" t="s">
        <v>1916</v>
      </c>
      <c r="I386" s="209" t="s">
        <v>182</v>
      </c>
      <c r="J386" s="209" t="s">
        <v>1047</v>
      </c>
      <c r="K386" s="212" t="s">
        <v>2798</v>
      </c>
      <c r="L386" s="209"/>
      <c r="M386" s="208">
        <v>0</v>
      </c>
      <c r="N386" s="208">
        <v>1.0940000000000001</v>
      </c>
      <c r="O386" s="208">
        <v>0</v>
      </c>
      <c r="P386" s="208">
        <v>1.1679999999999999</v>
      </c>
      <c r="Q386" s="208">
        <v>0</v>
      </c>
      <c r="R386" s="208">
        <v>0.85616438356164393</v>
      </c>
      <c r="S386" s="208">
        <v>0</v>
      </c>
      <c r="T386" s="208">
        <v>0.91407678244972568</v>
      </c>
      <c r="U386" s="280" t="s">
        <v>2078</v>
      </c>
    </row>
    <row r="387" spans="1:21" x14ac:dyDescent="0.25">
      <c r="A387" s="211" t="s">
        <v>1045</v>
      </c>
      <c r="B387" s="209" t="s">
        <v>2073</v>
      </c>
      <c r="C387" s="209" t="s">
        <v>2089</v>
      </c>
      <c r="D387" s="209" t="s">
        <v>461</v>
      </c>
      <c r="E387" s="209" t="s">
        <v>1914</v>
      </c>
      <c r="F387" s="208">
        <v>4.8399999999999997E-3</v>
      </c>
      <c r="G387" s="208">
        <v>3.04</v>
      </c>
      <c r="H387" s="209" t="s">
        <v>1916</v>
      </c>
      <c r="I387" s="209" t="s">
        <v>182</v>
      </c>
      <c r="J387" s="209" t="s">
        <v>1047</v>
      </c>
      <c r="K387" s="212" t="s">
        <v>2798</v>
      </c>
      <c r="L387" s="209"/>
      <c r="M387" s="208">
        <v>0</v>
      </c>
      <c r="N387" s="208">
        <v>1.0940000000000001</v>
      </c>
      <c r="O387" s="208">
        <v>0</v>
      </c>
      <c r="P387" s="208">
        <v>1.1679999999999999</v>
      </c>
      <c r="Q387" s="208">
        <v>0</v>
      </c>
      <c r="R387" s="208">
        <v>0.85616438356164393</v>
      </c>
      <c r="S387" s="208">
        <v>0</v>
      </c>
      <c r="T387" s="208">
        <v>0.91407678244972568</v>
      </c>
      <c r="U387" s="280" t="s">
        <v>2078</v>
      </c>
    </row>
    <row r="388" spans="1:21" x14ac:dyDescent="0.25">
      <c r="A388" s="211" t="s">
        <v>1049</v>
      </c>
      <c r="B388" s="209" t="s">
        <v>2073</v>
      </c>
      <c r="C388" s="209" t="s">
        <v>2076</v>
      </c>
      <c r="D388" s="209" t="s">
        <v>461</v>
      </c>
      <c r="E388" s="209" t="s">
        <v>1914</v>
      </c>
      <c r="F388" s="208">
        <v>4.0000000000000002E-4</v>
      </c>
      <c r="G388" s="208">
        <v>3.972</v>
      </c>
      <c r="H388" s="209" t="s">
        <v>1916</v>
      </c>
      <c r="I388" s="209" t="s">
        <v>182</v>
      </c>
      <c r="J388" s="209" t="s">
        <v>1917</v>
      </c>
      <c r="K388" s="212" t="s">
        <v>2798</v>
      </c>
      <c r="L388" s="209"/>
      <c r="M388" s="218" t="s">
        <v>147</v>
      </c>
      <c r="N388" s="218" t="s">
        <v>147</v>
      </c>
      <c r="O388" s="208">
        <v>0</v>
      </c>
      <c r="P388" s="208">
        <v>1.1467889908256881</v>
      </c>
      <c r="Q388" s="208">
        <v>0</v>
      </c>
      <c r="R388" s="208">
        <v>0.872</v>
      </c>
      <c r="S388" s="218" t="s">
        <v>147</v>
      </c>
      <c r="T388" s="218" t="s">
        <v>147</v>
      </c>
      <c r="U388" s="280" t="s">
        <v>2075</v>
      </c>
    </row>
    <row r="389" spans="1:21" x14ac:dyDescent="0.25">
      <c r="A389" s="211" t="s">
        <v>1592</v>
      </c>
      <c r="B389" s="209" t="s">
        <v>2491</v>
      </c>
      <c r="C389" s="209" t="s">
        <v>2520</v>
      </c>
      <c r="D389" s="209" t="s">
        <v>461</v>
      </c>
      <c r="E389" s="209" t="s">
        <v>1914</v>
      </c>
      <c r="F389" s="208">
        <v>1.4421613E-2</v>
      </c>
      <c r="G389" s="208">
        <v>3.0684109679999998</v>
      </c>
      <c r="H389" s="209" t="s">
        <v>1916</v>
      </c>
      <c r="I389" s="209" t="s">
        <v>182</v>
      </c>
      <c r="J389" s="209" t="s">
        <v>1924</v>
      </c>
      <c r="K389" s="212" t="s">
        <v>2798</v>
      </c>
      <c r="L389" s="209"/>
      <c r="M389" s="208">
        <v>0</v>
      </c>
      <c r="N389" s="208">
        <v>1</v>
      </c>
      <c r="O389" s="208">
        <v>0</v>
      </c>
      <c r="P389" s="208">
        <v>1.2180267965895251</v>
      </c>
      <c r="Q389" s="208">
        <v>0</v>
      </c>
      <c r="R389" s="208">
        <v>0.82099999999999995</v>
      </c>
      <c r="S389" s="208">
        <v>0</v>
      </c>
      <c r="T389" s="208">
        <v>1</v>
      </c>
      <c r="U389" s="280" t="s">
        <v>2493</v>
      </c>
    </row>
    <row r="390" spans="1:21" x14ac:dyDescent="0.25">
      <c r="A390" s="211" t="s">
        <v>2541</v>
      </c>
      <c r="B390" s="209" t="s">
        <v>2536</v>
      </c>
      <c r="C390" s="209" t="s">
        <v>1911</v>
      </c>
      <c r="D390" s="209" t="s">
        <v>461</v>
      </c>
      <c r="E390" s="209" t="s">
        <v>1914</v>
      </c>
      <c r="F390" s="208">
        <v>5.0600000000000003E-3</v>
      </c>
      <c r="G390" s="208">
        <v>3.3340000000000001</v>
      </c>
      <c r="H390" s="209" t="s">
        <v>1916</v>
      </c>
      <c r="I390" s="209" t="s">
        <v>182</v>
      </c>
      <c r="J390" s="209" t="s">
        <v>2538</v>
      </c>
      <c r="K390" s="212" t="s">
        <v>2798</v>
      </c>
      <c r="L390" s="209" t="s">
        <v>2789</v>
      </c>
      <c r="M390" s="208">
        <v>0</v>
      </c>
      <c r="N390" s="208">
        <v>1.145</v>
      </c>
      <c r="O390" s="208">
        <v>0</v>
      </c>
      <c r="P390" s="208">
        <v>1.198</v>
      </c>
      <c r="Q390" s="208">
        <v>0</v>
      </c>
      <c r="R390" s="208">
        <v>0.8347245409015025</v>
      </c>
      <c r="S390" s="208">
        <v>0</v>
      </c>
      <c r="T390" s="208">
        <v>0.8733624454148472</v>
      </c>
      <c r="U390" s="280" t="s">
        <v>2539</v>
      </c>
    </row>
    <row r="391" spans="1:21" x14ac:dyDescent="0.25">
      <c r="A391" s="211" t="s">
        <v>2542</v>
      </c>
      <c r="B391" s="209" t="s">
        <v>2536</v>
      </c>
      <c r="C391" s="209" t="s">
        <v>2543</v>
      </c>
      <c r="D391" s="209" t="s">
        <v>461</v>
      </c>
      <c r="E391" s="209" t="s">
        <v>1914</v>
      </c>
      <c r="F391" s="208">
        <v>5.0600000000000003E-3</v>
      </c>
      <c r="G391" s="208">
        <v>3.3340000000000001</v>
      </c>
      <c r="H391" s="209" t="s">
        <v>1916</v>
      </c>
      <c r="I391" s="209" t="s">
        <v>182</v>
      </c>
      <c r="J391" s="209" t="s">
        <v>1917</v>
      </c>
      <c r="K391" s="212" t="s">
        <v>2798</v>
      </c>
      <c r="L391" s="209"/>
      <c r="M391" s="208">
        <v>0</v>
      </c>
      <c r="N391" s="208">
        <v>1.145</v>
      </c>
      <c r="O391" s="208">
        <v>0</v>
      </c>
      <c r="P391" s="208">
        <v>1.198</v>
      </c>
      <c r="Q391" s="208">
        <v>0</v>
      </c>
      <c r="R391" s="208">
        <v>0.8347245409015025</v>
      </c>
      <c r="S391" s="208">
        <v>0</v>
      </c>
      <c r="T391" s="208">
        <v>0.8733624454148472</v>
      </c>
      <c r="U391" s="280" t="s">
        <v>2539</v>
      </c>
    </row>
    <row r="392" spans="1:21" x14ac:dyDescent="0.25">
      <c r="A392" s="211" t="s">
        <v>2210</v>
      </c>
      <c r="B392" s="209" t="s">
        <v>2211</v>
      </c>
      <c r="C392" s="209" t="s">
        <v>2212</v>
      </c>
      <c r="D392" s="209" t="s">
        <v>461</v>
      </c>
      <c r="E392" s="209" t="s">
        <v>1914</v>
      </c>
      <c r="F392" s="208">
        <v>4.9790476190476199E-3</v>
      </c>
      <c r="G392" s="208">
        <v>3.2020476190476188</v>
      </c>
      <c r="H392" s="209" t="s">
        <v>1916</v>
      </c>
      <c r="I392" s="209" t="s">
        <v>182</v>
      </c>
      <c r="J392" s="209" t="s">
        <v>1924</v>
      </c>
      <c r="K392" s="212" t="s">
        <v>2798</v>
      </c>
      <c r="L392" s="209" t="s">
        <v>2213</v>
      </c>
      <c r="M392" s="208">
        <v>0</v>
      </c>
      <c r="N392" s="208">
        <v>1</v>
      </c>
      <c r="O392" s="208">
        <v>0</v>
      </c>
      <c r="P392" s="208">
        <v>1.1086474501108647</v>
      </c>
      <c r="Q392" s="208">
        <v>0</v>
      </c>
      <c r="R392" s="208">
        <v>0.90200000000000002</v>
      </c>
      <c r="S392" s="208">
        <v>0</v>
      </c>
      <c r="T392" s="208">
        <v>1</v>
      </c>
      <c r="U392" s="280" t="s">
        <v>2214</v>
      </c>
    </row>
    <row r="393" spans="1:21" x14ac:dyDescent="0.25">
      <c r="A393" s="211" t="s">
        <v>2215</v>
      </c>
      <c r="B393" s="209" t="s">
        <v>2211</v>
      </c>
      <c r="C393" s="209" t="s">
        <v>1911</v>
      </c>
      <c r="D393" s="209" t="s">
        <v>461</v>
      </c>
      <c r="E393" s="209" t="s">
        <v>1914</v>
      </c>
      <c r="F393" s="208">
        <v>4.9790476190476199E-3</v>
      </c>
      <c r="G393" s="208">
        <v>3.2020476190476188</v>
      </c>
      <c r="H393" s="209" t="s">
        <v>1916</v>
      </c>
      <c r="I393" s="209" t="s">
        <v>182</v>
      </c>
      <c r="J393" s="209" t="s">
        <v>1924</v>
      </c>
      <c r="K393" s="212" t="s">
        <v>2798</v>
      </c>
      <c r="L393" s="209" t="s">
        <v>2213</v>
      </c>
      <c r="M393" s="208">
        <v>0</v>
      </c>
      <c r="N393" s="208">
        <v>1</v>
      </c>
      <c r="O393" s="208">
        <v>0</v>
      </c>
      <c r="P393" s="208">
        <v>1.1086474501108647</v>
      </c>
      <c r="Q393" s="208">
        <v>0</v>
      </c>
      <c r="R393" s="208">
        <v>0.90200000000000002</v>
      </c>
      <c r="S393" s="208">
        <v>0</v>
      </c>
      <c r="T393" s="208">
        <v>1</v>
      </c>
      <c r="U393" s="280" t="s">
        <v>2214</v>
      </c>
    </row>
    <row r="394" spans="1:21" x14ac:dyDescent="0.25">
      <c r="A394" s="211" t="s">
        <v>1105</v>
      </c>
      <c r="B394" s="209" t="s">
        <v>2211</v>
      </c>
      <c r="C394" s="209" t="s">
        <v>2218</v>
      </c>
      <c r="D394" s="209" t="s">
        <v>461</v>
      </c>
      <c r="E394" s="209" t="s">
        <v>1914</v>
      </c>
      <c r="F394" s="208">
        <v>4.9790476190476199E-3</v>
      </c>
      <c r="G394" s="208">
        <v>3.2020476190476188</v>
      </c>
      <c r="H394" s="209" t="s">
        <v>1916</v>
      </c>
      <c r="I394" s="209" t="s">
        <v>182</v>
      </c>
      <c r="J394" s="209" t="s">
        <v>1924</v>
      </c>
      <c r="K394" s="212" t="s">
        <v>2798</v>
      </c>
      <c r="L394" s="209" t="s">
        <v>2213</v>
      </c>
      <c r="M394" s="208">
        <v>0</v>
      </c>
      <c r="N394" s="208">
        <v>1</v>
      </c>
      <c r="O394" s="208">
        <v>0</v>
      </c>
      <c r="P394" s="208">
        <v>1.1086474501108647</v>
      </c>
      <c r="Q394" s="208">
        <v>0</v>
      </c>
      <c r="R394" s="208">
        <v>0.90200000000000002</v>
      </c>
      <c r="S394" s="208">
        <v>0</v>
      </c>
      <c r="T394" s="208">
        <v>1</v>
      </c>
      <c r="U394" s="280" t="s">
        <v>2214</v>
      </c>
    </row>
    <row r="395" spans="1:21" x14ac:dyDescent="0.25">
      <c r="A395" s="211" t="s">
        <v>2216</v>
      </c>
      <c r="B395" s="209" t="s">
        <v>2211</v>
      </c>
      <c r="C395" s="209" t="s">
        <v>1911</v>
      </c>
      <c r="D395" s="209" t="s">
        <v>461</v>
      </c>
      <c r="E395" s="209" t="s">
        <v>1914</v>
      </c>
      <c r="F395" s="208">
        <v>4.9790476190476199E-3</v>
      </c>
      <c r="G395" s="208">
        <v>3.2020476190476188</v>
      </c>
      <c r="H395" s="209" t="s">
        <v>1916</v>
      </c>
      <c r="I395" s="209" t="s">
        <v>182</v>
      </c>
      <c r="J395" s="209" t="s">
        <v>1924</v>
      </c>
      <c r="K395" s="212" t="s">
        <v>2798</v>
      </c>
      <c r="L395" s="209" t="s">
        <v>2213</v>
      </c>
      <c r="M395" s="208">
        <v>0</v>
      </c>
      <c r="N395" s="208">
        <v>1</v>
      </c>
      <c r="O395" s="208">
        <v>0</v>
      </c>
      <c r="P395" s="208">
        <v>1.1086474501108647</v>
      </c>
      <c r="Q395" s="208">
        <v>0</v>
      </c>
      <c r="R395" s="208">
        <v>0.90200000000000002</v>
      </c>
      <c r="S395" s="208">
        <v>0</v>
      </c>
      <c r="T395" s="208">
        <v>1</v>
      </c>
      <c r="U395" s="280" t="s">
        <v>2214</v>
      </c>
    </row>
    <row r="396" spans="1:21" x14ac:dyDescent="0.25">
      <c r="A396" s="211" t="s">
        <v>1099</v>
      </c>
      <c r="B396" s="209" t="s">
        <v>2211</v>
      </c>
      <c r="C396" s="209" t="s">
        <v>2217</v>
      </c>
      <c r="D396" s="209" t="s">
        <v>461</v>
      </c>
      <c r="E396" s="209" t="s">
        <v>1914</v>
      </c>
      <c r="F396" s="208">
        <v>4.9790476190476199E-3</v>
      </c>
      <c r="G396" s="208">
        <v>3.2020476190476188</v>
      </c>
      <c r="H396" s="209" t="s">
        <v>1916</v>
      </c>
      <c r="I396" s="209" t="s">
        <v>182</v>
      </c>
      <c r="J396" s="209" t="s">
        <v>1924</v>
      </c>
      <c r="K396" s="212" t="s">
        <v>2798</v>
      </c>
      <c r="L396" s="209" t="s">
        <v>2213</v>
      </c>
      <c r="M396" s="208">
        <v>0</v>
      </c>
      <c r="N396" s="208">
        <v>1</v>
      </c>
      <c r="O396" s="208">
        <v>0</v>
      </c>
      <c r="P396" s="208">
        <v>1.1086474501108647</v>
      </c>
      <c r="Q396" s="208">
        <v>0</v>
      </c>
      <c r="R396" s="208">
        <v>0.90200000000000002</v>
      </c>
      <c r="S396" s="208">
        <v>0</v>
      </c>
      <c r="T396" s="208">
        <v>1</v>
      </c>
      <c r="U396" s="280" t="s">
        <v>2214</v>
      </c>
    </row>
    <row r="397" spans="1:21" x14ac:dyDescent="0.25">
      <c r="A397" s="211" t="s">
        <v>1081</v>
      </c>
      <c r="B397" s="209" t="s">
        <v>2702</v>
      </c>
      <c r="C397" s="209" t="s">
        <v>2720</v>
      </c>
      <c r="D397" s="209" t="s">
        <v>461</v>
      </c>
      <c r="E397" s="209" t="s">
        <v>1914</v>
      </c>
      <c r="F397" s="208">
        <v>1.54E-2</v>
      </c>
      <c r="G397" s="208">
        <v>3.0630000000000002</v>
      </c>
      <c r="H397" s="209" t="s">
        <v>1923</v>
      </c>
      <c r="I397" s="209" t="s">
        <v>182</v>
      </c>
      <c r="J397" s="209" t="s">
        <v>2538</v>
      </c>
      <c r="K397" s="212" t="s">
        <v>2798</v>
      </c>
      <c r="L397" s="209" t="s">
        <v>2788</v>
      </c>
      <c r="M397" s="208">
        <v>0</v>
      </c>
      <c r="N397" s="208">
        <v>1</v>
      </c>
      <c r="O397" s="218" t="s">
        <v>147</v>
      </c>
      <c r="P397" s="218" t="s">
        <v>147</v>
      </c>
      <c r="Q397" s="218" t="s">
        <v>147</v>
      </c>
      <c r="R397" s="218" t="s">
        <v>147</v>
      </c>
      <c r="S397" s="208">
        <v>0</v>
      </c>
      <c r="T397" s="208">
        <v>1</v>
      </c>
      <c r="U397" s="280" t="s">
        <v>2703</v>
      </c>
    </row>
    <row r="398" spans="1:21" x14ac:dyDescent="0.25">
      <c r="A398" s="211" t="s">
        <v>1782</v>
      </c>
      <c r="B398" s="209" t="s">
        <v>2651</v>
      </c>
      <c r="C398" s="209" t="s">
        <v>2652</v>
      </c>
      <c r="D398" s="209" t="s">
        <v>436</v>
      </c>
      <c r="E398" s="209" t="s">
        <v>1914</v>
      </c>
      <c r="F398" s="208">
        <v>1.6900666666666668E-2</v>
      </c>
      <c r="G398" s="208">
        <v>3.1136299999999997</v>
      </c>
      <c r="H398" s="209" t="s">
        <v>1916</v>
      </c>
      <c r="I398" s="209" t="s">
        <v>182</v>
      </c>
      <c r="J398" s="209" t="s">
        <v>1924</v>
      </c>
      <c r="K398" s="212" t="s">
        <v>2798</v>
      </c>
      <c r="L398" s="209"/>
      <c r="M398" s="208">
        <v>0</v>
      </c>
      <c r="N398" s="208">
        <v>1</v>
      </c>
      <c r="O398" s="208">
        <v>0</v>
      </c>
      <c r="P398" s="208">
        <v>1.2370000000000001</v>
      </c>
      <c r="Q398" s="208">
        <v>0</v>
      </c>
      <c r="R398" s="208">
        <v>0.80840743734842357</v>
      </c>
      <c r="S398" s="208">
        <v>0</v>
      </c>
      <c r="T398" s="208">
        <v>1</v>
      </c>
      <c r="U398" s="280" t="s">
        <v>2653</v>
      </c>
    </row>
    <row r="399" spans="1:21" x14ac:dyDescent="0.25">
      <c r="A399" s="211" t="s">
        <v>1750</v>
      </c>
      <c r="B399" s="209" t="s">
        <v>2607</v>
      </c>
      <c r="C399" s="209" t="s">
        <v>2636</v>
      </c>
      <c r="D399" s="209" t="s">
        <v>436</v>
      </c>
      <c r="E399" s="209" t="s">
        <v>1914</v>
      </c>
      <c r="F399" s="208">
        <v>6.9719444444444438E-3</v>
      </c>
      <c r="G399" s="208">
        <v>3.1445000000000003</v>
      </c>
      <c r="H399" s="209" t="s">
        <v>1916</v>
      </c>
      <c r="I399" s="209" t="s">
        <v>182</v>
      </c>
      <c r="J399" s="209" t="s">
        <v>1924</v>
      </c>
      <c r="K399" s="212" t="s">
        <v>2798</v>
      </c>
      <c r="L399" s="209"/>
      <c r="M399" s="208">
        <v>0</v>
      </c>
      <c r="N399" s="208">
        <v>1</v>
      </c>
      <c r="O399" s="208">
        <v>0</v>
      </c>
      <c r="P399" s="208">
        <v>1.1619999999999999</v>
      </c>
      <c r="Q399" s="208">
        <v>0</v>
      </c>
      <c r="R399" s="208">
        <v>0.86058519793459554</v>
      </c>
      <c r="S399" s="208">
        <v>0</v>
      </c>
      <c r="T399" s="208">
        <v>1</v>
      </c>
      <c r="U399" s="280" t="s">
        <v>2604</v>
      </c>
    </row>
    <row r="400" spans="1:21" x14ac:dyDescent="0.25">
      <c r="A400" s="211" t="s">
        <v>1752</v>
      </c>
      <c r="B400" s="209" t="s">
        <v>2607</v>
      </c>
      <c r="C400" s="209" t="s">
        <v>2637</v>
      </c>
      <c r="D400" s="209" t="s">
        <v>436</v>
      </c>
      <c r="E400" s="209" t="s">
        <v>1914</v>
      </c>
      <c r="F400" s="208">
        <v>6.9719444444444438E-3</v>
      </c>
      <c r="G400" s="208">
        <v>3.1445000000000003</v>
      </c>
      <c r="H400" s="209" t="s">
        <v>1916</v>
      </c>
      <c r="I400" s="209" t="s">
        <v>182</v>
      </c>
      <c r="J400" s="209" t="s">
        <v>1924</v>
      </c>
      <c r="K400" s="212" t="s">
        <v>2798</v>
      </c>
      <c r="L400" s="209"/>
      <c r="M400" s="208">
        <v>0</v>
      </c>
      <c r="N400" s="208">
        <v>1</v>
      </c>
      <c r="O400" s="208">
        <v>0</v>
      </c>
      <c r="P400" s="208">
        <v>1.1619999999999999</v>
      </c>
      <c r="Q400" s="208">
        <v>0</v>
      </c>
      <c r="R400" s="208">
        <v>0.86058519793459554</v>
      </c>
      <c r="S400" s="208">
        <v>0</v>
      </c>
      <c r="T400" s="208">
        <v>1</v>
      </c>
      <c r="U400" s="280" t="s">
        <v>2604</v>
      </c>
    </row>
    <row r="401" spans="1:21" x14ac:dyDescent="0.25">
      <c r="A401" s="209" t="s">
        <v>1721</v>
      </c>
      <c r="B401" s="209" t="s">
        <v>2602</v>
      </c>
      <c r="C401" s="209" t="s">
        <v>2603</v>
      </c>
      <c r="D401" s="209" t="s">
        <v>436</v>
      </c>
      <c r="E401" s="209" t="s">
        <v>1914</v>
      </c>
      <c r="F401" s="208">
        <v>9.5524000000000008E-3</v>
      </c>
      <c r="G401" s="208">
        <v>3.0895600000000001</v>
      </c>
      <c r="H401" s="209" t="s">
        <v>1916</v>
      </c>
      <c r="I401" s="209" t="s">
        <v>182</v>
      </c>
      <c r="J401" s="209" t="s">
        <v>1924</v>
      </c>
      <c r="K401" s="212" t="s">
        <v>2798</v>
      </c>
      <c r="L401" s="209"/>
      <c r="M401" s="208">
        <v>0</v>
      </c>
      <c r="N401" s="208">
        <v>1</v>
      </c>
      <c r="O401" s="208">
        <v>0</v>
      </c>
      <c r="P401" s="208">
        <v>1.1619999999999999</v>
      </c>
      <c r="Q401" s="208">
        <v>0</v>
      </c>
      <c r="R401" s="208">
        <v>0.86058519793459554</v>
      </c>
      <c r="S401" s="208">
        <v>0</v>
      </c>
      <c r="T401" s="208">
        <v>1</v>
      </c>
      <c r="U401" s="280" t="s">
        <v>2604</v>
      </c>
    </row>
    <row r="402" spans="1:21" x14ac:dyDescent="0.25">
      <c r="A402" s="211" t="s">
        <v>2638</v>
      </c>
      <c r="B402" s="209" t="s">
        <v>2607</v>
      </c>
      <c r="C402" s="209" t="s">
        <v>1911</v>
      </c>
      <c r="D402" s="209" t="s">
        <v>436</v>
      </c>
      <c r="E402" s="209" t="s">
        <v>1914</v>
      </c>
      <c r="F402" s="208">
        <v>6.9719444444444438E-3</v>
      </c>
      <c r="G402" s="208">
        <v>3.1445000000000003</v>
      </c>
      <c r="H402" s="209" t="s">
        <v>1916</v>
      </c>
      <c r="I402" s="209" t="s">
        <v>182</v>
      </c>
      <c r="J402" s="209" t="s">
        <v>1924</v>
      </c>
      <c r="K402" s="212" t="s">
        <v>2798</v>
      </c>
      <c r="L402" s="209"/>
      <c r="M402" s="208">
        <v>0</v>
      </c>
      <c r="N402" s="208">
        <v>1</v>
      </c>
      <c r="O402" s="208">
        <v>0</v>
      </c>
      <c r="P402" s="208">
        <v>1.1619999999999999</v>
      </c>
      <c r="Q402" s="208">
        <v>0</v>
      </c>
      <c r="R402" s="208">
        <v>0.86058519793459554</v>
      </c>
      <c r="S402" s="208">
        <v>0</v>
      </c>
      <c r="T402" s="208">
        <v>1</v>
      </c>
      <c r="U402" s="280" t="s">
        <v>2604</v>
      </c>
    </row>
    <row r="403" spans="1:21" x14ac:dyDescent="0.25">
      <c r="A403" s="211" t="s">
        <v>1754</v>
      </c>
      <c r="B403" s="209" t="s">
        <v>2607</v>
      </c>
      <c r="C403" s="209" t="s">
        <v>2639</v>
      </c>
      <c r="D403" s="209" t="s">
        <v>436</v>
      </c>
      <c r="E403" s="209" t="s">
        <v>1914</v>
      </c>
      <c r="F403" s="208">
        <v>6.9719444444444438E-3</v>
      </c>
      <c r="G403" s="208">
        <v>3.1445000000000003</v>
      </c>
      <c r="H403" s="209" t="s">
        <v>1916</v>
      </c>
      <c r="I403" s="209" t="s">
        <v>182</v>
      </c>
      <c r="J403" s="209" t="s">
        <v>1924</v>
      </c>
      <c r="K403" s="212" t="s">
        <v>2798</v>
      </c>
      <c r="L403" s="209"/>
      <c r="M403" s="208">
        <v>0</v>
      </c>
      <c r="N403" s="208">
        <v>1</v>
      </c>
      <c r="O403" s="208">
        <v>0</v>
      </c>
      <c r="P403" s="208">
        <v>1.1619999999999999</v>
      </c>
      <c r="Q403" s="208">
        <v>0</v>
      </c>
      <c r="R403" s="208">
        <v>0.86058519793459554</v>
      </c>
      <c r="S403" s="208">
        <v>0</v>
      </c>
      <c r="T403" s="208">
        <v>1</v>
      </c>
      <c r="U403" s="280" t="s">
        <v>2604</v>
      </c>
    </row>
    <row r="404" spans="1:21" x14ac:dyDescent="0.25">
      <c r="A404" s="211" t="s">
        <v>2640</v>
      </c>
      <c r="B404" s="209" t="s">
        <v>2607</v>
      </c>
      <c r="C404" s="209" t="s">
        <v>2641</v>
      </c>
      <c r="D404" s="209" t="s">
        <v>436</v>
      </c>
      <c r="E404" s="209" t="s">
        <v>1914</v>
      </c>
      <c r="F404" s="208">
        <v>6.9719444444444438E-3</v>
      </c>
      <c r="G404" s="208">
        <v>3.1445000000000003</v>
      </c>
      <c r="H404" s="209" t="s">
        <v>1916</v>
      </c>
      <c r="I404" s="209" t="s">
        <v>182</v>
      </c>
      <c r="J404" s="209" t="s">
        <v>1924</v>
      </c>
      <c r="K404" s="212" t="s">
        <v>2798</v>
      </c>
      <c r="L404" s="209"/>
      <c r="M404" s="208">
        <v>0</v>
      </c>
      <c r="N404" s="208">
        <v>1</v>
      </c>
      <c r="O404" s="208">
        <v>0</v>
      </c>
      <c r="P404" s="208">
        <v>1.1619999999999999</v>
      </c>
      <c r="Q404" s="208">
        <v>0</v>
      </c>
      <c r="R404" s="208">
        <v>0.86058519793459554</v>
      </c>
      <c r="S404" s="208">
        <v>0</v>
      </c>
      <c r="T404" s="208">
        <v>1</v>
      </c>
      <c r="U404" s="280" t="s">
        <v>2604</v>
      </c>
    </row>
    <row r="405" spans="1:21" x14ac:dyDescent="0.25">
      <c r="A405" s="211" t="s">
        <v>2642</v>
      </c>
      <c r="B405" s="209" t="s">
        <v>2607</v>
      </c>
      <c r="C405" s="209" t="s">
        <v>2643</v>
      </c>
      <c r="D405" s="209" t="s">
        <v>436</v>
      </c>
      <c r="E405" s="209" t="s">
        <v>1914</v>
      </c>
      <c r="F405" s="208">
        <v>6.9719444444444438E-3</v>
      </c>
      <c r="G405" s="208">
        <v>3.1445000000000003</v>
      </c>
      <c r="H405" s="209" t="s">
        <v>1916</v>
      </c>
      <c r="I405" s="209" t="s">
        <v>182</v>
      </c>
      <c r="J405" s="209" t="s">
        <v>1924</v>
      </c>
      <c r="K405" s="212" t="s">
        <v>2798</v>
      </c>
      <c r="L405" s="209"/>
      <c r="M405" s="208">
        <v>0</v>
      </c>
      <c r="N405" s="208">
        <v>1</v>
      </c>
      <c r="O405" s="208">
        <v>0</v>
      </c>
      <c r="P405" s="208">
        <v>1.1619999999999999</v>
      </c>
      <c r="Q405" s="208">
        <v>0</v>
      </c>
      <c r="R405" s="208">
        <v>0.86058519793459554</v>
      </c>
      <c r="S405" s="208">
        <v>0</v>
      </c>
      <c r="T405" s="208">
        <v>1</v>
      </c>
      <c r="U405" s="280" t="s">
        <v>2604</v>
      </c>
    </row>
    <row r="406" spans="1:21" x14ac:dyDescent="0.25">
      <c r="A406" s="211" t="s">
        <v>1756</v>
      </c>
      <c r="B406" s="209" t="s">
        <v>2602</v>
      </c>
      <c r="C406" s="209" t="s">
        <v>2605</v>
      </c>
      <c r="D406" s="209" t="s">
        <v>436</v>
      </c>
      <c r="E406" s="209" t="s">
        <v>1914</v>
      </c>
      <c r="F406" s="208">
        <v>9.5524000000000008E-3</v>
      </c>
      <c r="G406" s="208">
        <v>3.0895600000000001</v>
      </c>
      <c r="H406" s="209" t="s">
        <v>1916</v>
      </c>
      <c r="I406" s="209" t="s">
        <v>182</v>
      </c>
      <c r="J406" s="209" t="s">
        <v>1924</v>
      </c>
      <c r="K406" s="212" t="s">
        <v>2798</v>
      </c>
      <c r="L406" s="209"/>
      <c r="M406" s="208">
        <v>0</v>
      </c>
      <c r="N406" s="208">
        <v>1</v>
      </c>
      <c r="O406" s="208">
        <v>0</v>
      </c>
      <c r="P406" s="208">
        <v>1.1619999999999999</v>
      </c>
      <c r="Q406" s="208">
        <v>0</v>
      </c>
      <c r="R406" s="208">
        <v>0.86058519793459554</v>
      </c>
      <c r="S406" s="208">
        <v>0</v>
      </c>
      <c r="T406" s="208">
        <v>1</v>
      </c>
      <c r="U406" s="280" t="s">
        <v>2604</v>
      </c>
    </row>
    <row r="407" spans="1:21" x14ac:dyDescent="0.25">
      <c r="A407" s="211" t="s">
        <v>2613</v>
      </c>
      <c r="B407" s="209" t="s">
        <v>2607</v>
      </c>
      <c r="C407" s="209" t="s">
        <v>2614</v>
      </c>
      <c r="D407" s="209" t="s">
        <v>436</v>
      </c>
      <c r="E407" s="209" t="s">
        <v>1914</v>
      </c>
      <c r="F407" s="208">
        <v>6.9719444444444438E-3</v>
      </c>
      <c r="G407" s="208">
        <v>3.1445000000000003</v>
      </c>
      <c r="H407" s="209" t="s">
        <v>1916</v>
      </c>
      <c r="I407" s="209" t="s">
        <v>182</v>
      </c>
      <c r="J407" s="209" t="s">
        <v>1924</v>
      </c>
      <c r="K407" s="212" t="s">
        <v>2798</v>
      </c>
      <c r="L407" s="209"/>
      <c r="M407" s="208">
        <v>0</v>
      </c>
      <c r="N407" s="208">
        <v>1</v>
      </c>
      <c r="O407" s="208">
        <v>0</v>
      </c>
      <c r="P407" s="208">
        <v>1.1619999999999999</v>
      </c>
      <c r="Q407" s="208">
        <v>0</v>
      </c>
      <c r="R407" s="208">
        <v>0.86058519793459554</v>
      </c>
      <c r="S407" s="208">
        <v>0</v>
      </c>
      <c r="T407" s="208">
        <v>1</v>
      </c>
      <c r="U407" s="280" t="s">
        <v>2604</v>
      </c>
    </row>
    <row r="408" spans="1:21" x14ac:dyDescent="0.25">
      <c r="A408" s="211" t="s">
        <v>2606</v>
      </c>
      <c r="B408" s="209" t="s">
        <v>2607</v>
      </c>
      <c r="C408" s="209" t="s">
        <v>2608</v>
      </c>
      <c r="D408" s="209" t="s">
        <v>436</v>
      </c>
      <c r="E408" s="209" t="s">
        <v>1914</v>
      </c>
      <c r="F408" s="208">
        <v>6.9719444444444438E-3</v>
      </c>
      <c r="G408" s="208">
        <v>3.1445000000000003</v>
      </c>
      <c r="H408" s="209" t="s">
        <v>1916</v>
      </c>
      <c r="I408" s="209" t="s">
        <v>182</v>
      </c>
      <c r="J408" s="209" t="s">
        <v>1924</v>
      </c>
      <c r="K408" s="212" t="s">
        <v>2798</v>
      </c>
      <c r="L408" s="209"/>
      <c r="M408" s="208">
        <v>0</v>
      </c>
      <c r="N408" s="208">
        <v>1</v>
      </c>
      <c r="O408" s="208">
        <v>0</v>
      </c>
      <c r="P408" s="208">
        <v>1.1619999999999999</v>
      </c>
      <c r="Q408" s="208">
        <v>0</v>
      </c>
      <c r="R408" s="208">
        <v>0.86058519793459554</v>
      </c>
      <c r="S408" s="208">
        <v>0</v>
      </c>
      <c r="T408" s="208">
        <v>1</v>
      </c>
      <c r="U408" s="280" t="s">
        <v>2604</v>
      </c>
    </row>
    <row r="409" spans="1:21" x14ac:dyDescent="0.25">
      <c r="A409" s="211" t="s">
        <v>2611</v>
      </c>
      <c r="B409" s="209" t="s">
        <v>2607</v>
      </c>
      <c r="C409" s="209" t="s">
        <v>2612</v>
      </c>
      <c r="D409" s="209" t="s">
        <v>436</v>
      </c>
      <c r="E409" s="209" t="s">
        <v>1914</v>
      </c>
      <c r="F409" s="208">
        <v>6.9719444444444438E-3</v>
      </c>
      <c r="G409" s="208">
        <v>3.1445000000000003</v>
      </c>
      <c r="H409" s="209" t="s">
        <v>1916</v>
      </c>
      <c r="I409" s="209" t="s">
        <v>182</v>
      </c>
      <c r="J409" s="209" t="s">
        <v>1924</v>
      </c>
      <c r="K409" s="212" t="s">
        <v>2798</v>
      </c>
      <c r="L409" s="209"/>
      <c r="M409" s="208">
        <v>0</v>
      </c>
      <c r="N409" s="208">
        <v>1</v>
      </c>
      <c r="O409" s="208">
        <v>0</v>
      </c>
      <c r="P409" s="208">
        <v>1.1619999999999999</v>
      </c>
      <c r="Q409" s="208">
        <v>0</v>
      </c>
      <c r="R409" s="208">
        <v>0.86058519793459554</v>
      </c>
      <c r="S409" s="208">
        <v>0</v>
      </c>
      <c r="T409" s="208">
        <v>1</v>
      </c>
      <c r="U409" s="280" t="s">
        <v>2604</v>
      </c>
    </row>
    <row r="410" spans="1:21" x14ac:dyDescent="0.25">
      <c r="A410" s="211" t="s">
        <v>1727</v>
      </c>
      <c r="B410" s="209" t="s">
        <v>2607</v>
      </c>
      <c r="C410" s="209" t="s">
        <v>2609</v>
      </c>
      <c r="D410" s="209" t="s">
        <v>436</v>
      </c>
      <c r="E410" s="209" t="s">
        <v>1914</v>
      </c>
      <c r="F410" s="208">
        <v>6.9719444444444438E-3</v>
      </c>
      <c r="G410" s="208">
        <v>3.1445000000000003</v>
      </c>
      <c r="H410" s="209" t="s">
        <v>1916</v>
      </c>
      <c r="I410" s="209" t="s">
        <v>182</v>
      </c>
      <c r="J410" s="209" t="s">
        <v>1924</v>
      </c>
      <c r="K410" s="212" t="s">
        <v>2798</v>
      </c>
      <c r="L410" s="209"/>
      <c r="M410" s="208">
        <v>0</v>
      </c>
      <c r="N410" s="208">
        <v>1</v>
      </c>
      <c r="O410" s="208">
        <v>0</v>
      </c>
      <c r="P410" s="208">
        <v>1.1619999999999999</v>
      </c>
      <c r="Q410" s="208">
        <v>0</v>
      </c>
      <c r="R410" s="208">
        <v>0.86058519793459554</v>
      </c>
      <c r="S410" s="208">
        <v>0</v>
      </c>
      <c r="T410" s="208">
        <v>1</v>
      </c>
      <c r="U410" s="280" t="s">
        <v>2604</v>
      </c>
    </row>
    <row r="411" spans="1:21" x14ac:dyDescent="0.25">
      <c r="A411" s="211" t="s">
        <v>1729</v>
      </c>
      <c r="B411" s="209" t="s">
        <v>2607</v>
      </c>
      <c r="C411" s="209" t="s">
        <v>2610</v>
      </c>
      <c r="D411" s="209" t="s">
        <v>436</v>
      </c>
      <c r="E411" s="209" t="s">
        <v>1914</v>
      </c>
      <c r="F411" s="208">
        <v>6.9719444444444438E-3</v>
      </c>
      <c r="G411" s="208">
        <v>3.1445000000000003</v>
      </c>
      <c r="H411" s="209" t="s">
        <v>1916</v>
      </c>
      <c r="I411" s="209" t="s">
        <v>182</v>
      </c>
      <c r="J411" s="209" t="s">
        <v>1924</v>
      </c>
      <c r="K411" s="212" t="s">
        <v>2798</v>
      </c>
      <c r="L411" s="209"/>
      <c r="M411" s="208">
        <v>0</v>
      </c>
      <c r="N411" s="208">
        <v>1</v>
      </c>
      <c r="O411" s="208">
        <v>0</v>
      </c>
      <c r="P411" s="208">
        <v>1.1619999999999999</v>
      </c>
      <c r="Q411" s="208">
        <v>0</v>
      </c>
      <c r="R411" s="208">
        <v>0.86058519793459554</v>
      </c>
      <c r="S411" s="208">
        <v>0</v>
      </c>
      <c r="T411" s="208">
        <v>1</v>
      </c>
      <c r="U411" s="280" t="s">
        <v>2604</v>
      </c>
    </row>
    <row r="412" spans="1:21" x14ac:dyDescent="0.25">
      <c r="A412" s="211" t="s">
        <v>1758</v>
      </c>
      <c r="B412" s="209" t="s">
        <v>2607</v>
      </c>
      <c r="C412" s="209" t="s">
        <v>2615</v>
      </c>
      <c r="D412" s="209" t="s">
        <v>436</v>
      </c>
      <c r="E412" s="209" t="s">
        <v>1914</v>
      </c>
      <c r="F412" s="208">
        <v>6.9719444444444438E-3</v>
      </c>
      <c r="G412" s="208">
        <v>3.1445000000000003</v>
      </c>
      <c r="H412" s="209" t="s">
        <v>1916</v>
      </c>
      <c r="I412" s="209" t="s">
        <v>182</v>
      </c>
      <c r="J412" s="209" t="s">
        <v>1924</v>
      </c>
      <c r="K412" s="212" t="s">
        <v>2798</v>
      </c>
      <c r="L412" s="209"/>
      <c r="M412" s="208">
        <v>0</v>
      </c>
      <c r="N412" s="208">
        <v>1</v>
      </c>
      <c r="O412" s="208">
        <v>0</v>
      </c>
      <c r="P412" s="208">
        <v>1.1619999999999999</v>
      </c>
      <c r="Q412" s="208">
        <v>0</v>
      </c>
      <c r="R412" s="208">
        <v>0.86058519793459554</v>
      </c>
      <c r="S412" s="208">
        <v>0</v>
      </c>
      <c r="T412" s="208">
        <v>1</v>
      </c>
      <c r="U412" s="280" t="s">
        <v>2604</v>
      </c>
    </row>
    <row r="413" spans="1:21" x14ac:dyDescent="0.25">
      <c r="A413" s="211" t="s">
        <v>1760</v>
      </c>
      <c r="B413" s="209" t="s">
        <v>2607</v>
      </c>
      <c r="C413" s="209" t="s">
        <v>2616</v>
      </c>
      <c r="D413" s="209" t="s">
        <v>436</v>
      </c>
      <c r="E413" s="209" t="s">
        <v>1914</v>
      </c>
      <c r="F413" s="208">
        <v>6.9719444444444438E-3</v>
      </c>
      <c r="G413" s="208">
        <v>3.1445000000000003</v>
      </c>
      <c r="H413" s="209" t="s">
        <v>1916</v>
      </c>
      <c r="I413" s="209" t="s">
        <v>182</v>
      </c>
      <c r="J413" s="209" t="s">
        <v>1924</v>
      </c>
      <c r="K413" s="212" t="s">
        <v>2798</v>
      </c>
      <c r="L413" s="209"/>
      <c r="M413" s="208">
        <v>0</v>
      </c>
      <c r="N413" s="208">
        <v>1</v>
      </c>
      <c r="O413" s="208">
        <v>0</v>
      </c>
      <c r="P413" s="208">
        <v>1.1619999999999999</v>
      </c>
      <c r="Q413" s="208">
        <v>0</v>
      </c>
      <c r="R413" s="208">
        <v>0.86058519793459554</v>
      </c>
      <c r="S413" s="208">
        <v>0</v>
      </c>
      <c r="T413" s="208">
        <v>1</v>
      </c>
      <c r="U413" s="280" t="s">
        <v>2604</v>
      </c>
    </row>
    <row r="414" spans="1:21" x14ac:dyDescent="0.25">
      <c r="A414" s="211" t="s">
        <v>2629</v>
      </c>
      <c r="B414" s="209" t="s">
        <v>2607</v>
      </c>
      <c r="C414" s="209" t="s">
        <v>2630</v>
      </c>
      <c r="D414" s="209" t="s">
        <v>436</v>
      </c>
      <c r="E414" s="209" t="s">
        <v>1914</v>
      </c>
      <c r="F414" s="208">
        <v>6.9719444444444438E-3</v>
      </c>
      <c r="G414" s="208">
        <v>3.1445000000000003</v>
      </c>
      <c r="H414" s="209" t="s">
        <v>1916</v>
      </c>
      <c r="I414" s="209" t="s">
        <v>182</v>
      </c>
      <c r="J414" s="209" t="s">
        <v>1924</v>
      </c>
      <c r="K414" s="212" t="s">
        <v>2798</v>
      </c>
      <c r="L414" s="209"/>
      <c r="M414" s="208">
        <v>0</v>
      </c>
      <c r="N414" s="208">
        <v>1</v>
      </c>
      <c r="O414" s="208">
        <v>0</v>
      </c>
      <c r="P414" s="208">
        <v>1.1619999999999999</v>
      </c>
      <c r="Q414" s="208">
        <v>0</v>
      </c>
      <c r="R414" s="208">
        <v>0.86058519793459554</v>
      </c>
      <c r="S414" s="208">
        <v>0</v>
      </c>
      <c r="T414" s="208">
        <v>1</v>
      </c>
      <c r="U414" s="280" t="s">
        <v>2604</v>
      </c>
    </row>
    <row r="415" spans="1:21" x14ac:dyDescent="0.25">
      <c r="A415" s="211" t="s">
        <v>2617</v>
      </c>
      <c r="B415" s="209" t="s">
        <v>2607</v>
      </c>
      <c r="C415" s="209" t="s">
        <v>1911</v>
      </c>
      <c r="D415" s="209" t="s">
        <v>436</v>
      </c>
      <c r="E415" s="209" t="s">
        <v>1914</v>
      </c>
      <c r="F415" s="208">
        <v>6.9719444444444438E-3</v>
      </c>
      <c r="G415" s="208">
        <v>3.1445000000000003</v>
      </c>
      <c r="H415" s="209" t="s">
        <v>1916</v>
      </c>
      <c r="I415" s="209" t="s">
        <v>182</v>
      </c>
      <c r="J415" s="209" t="s">
        <v>1924</v>
      </c>
      <c r="K415" s="212" t="s">
        <v>2798</v>
      </c>
      <c r="L415" s="209"/>
      <c r="M415" s="208">
        <v>0</v>
      </c>
      <c r="N415" s="208">
        <v>1</v>
      </c>
      <c r="O415" s="208">
        <v>0</v>
      </c>
      <c r="P415" s="208">
        <v>1.1619999999999999</v>
      </c>
      <c r="Q415" s="208">
        <v>0</v>
      </c>
      <c r="R415" s="208">
        <v>0.86058519793459554</v>
      </c>
      <c r="S415" s="208">
        <v>0</v>
      </c>
      <c r="T415" s="208">
        <v>1</v>
      </c>
      <c r="U415" s="280" t="s">
        <v>2604</v>
      </c>
    </row>
    <row r="416" spans="1:21" x14ac:dyDescent="0.25">
      <c r="A416" s="211" t="s">
        <v>1731</v>
      </c>
      <c r="B416" s="209" t="s">
        <v>2607</v>
      </c>
      <c r="C416" s="209" t="s">
        <v>2618</v>
      </c>
      <c r="D416" s="209" t="s">
        <v>436</v>
      </c>
      <c r="E416" s="209" t="s">
        <v>1914</v>
      </c>
      <c r="F416" s="208">
        <v>6.9719444444444438E-3</v>
      </c>
      <c r="G416" s="208">
        <v>3.1445000000000003</v>
      </c>
      <c r="H416" s="209" t="s">
        <v>1916</v>
      </c>
      <c r="I416" s="209" t="s">
        <v>182</v>
      </c>
      <c r="J416" s="209" t="s">
        <v>1924</v>
      </c>
      <c r="K416" s="212" t="s">
        <v>2798</v>
      </c>
      <c r="L416" s="209"/>
      <c r="M416" s="208">
        <v>0</v>
      </c>
      <c r="N416" s="208">
        <v>1</v>
      </c>
      <c r="O416" s="208">
        <v>0</v>
      </c>
      <c r="P416" s="208">
        <v>1.1619999999999999</v>
      </c>
      <c r="Q416" s="208">
        <v>0</v>
      </c>
      <c r="R416" s="208">
        <v>0.86058519793459554</v>
      </c>
      <c r="S416" s="208">
        <v>0</v>
      </c>
      <c r="T416" s="208">
        <v>1</v>
      </c>
      <c r="U416" s="280" t="s">
        <v>2604</v>
      </c>
    </row>
    <row r="417" spans="1:21" x14ac:dyDescent="0.25">
      <c r="A417" s="211" t="s">
        <v>2622</v>
      </c>
      <c r="B417" s="209" t="s">
        <v>2607</v>
      </c>
      <c r="C417" s="209" t="s">
        <v>2623</v>
      </c>
      <c r="D417" s="209" t="s">
        <v>436</v>
      </c>
      <c r="E417" s="209" t="s">
        <v>1914</v>
      </c>
      <c r="F417" s="208">
        <v>6.9719444444444438E-3</v>
      </c>
      <c r="G417" s="208">
        <v>3.1445000000000003</v>
      </c>
      <c r="H417" s="209" t="s">
        <v>1916</v>
      </c>
      <c r="I417" s="209" t="s">
        <v>182</v>
      </c>
      <c r="J417" s="209" t="s">
        <v>1924</v>
      </c>
      <c r="K417" s="212" t="s">
        <v>2798</v>
      </c>
      <c r="L417" s="209"/>
      <c r="M417" s="208">
        <v>0</v>
      </c>
      <c r="N417" s="208">
        <v>1</v>
      </c>
      <c r="O417" s="208">
        <v>0</v>
      </c>
      <c r="P417" s="208">
        <v>1.1619999999999999</v>
      </c>
      <c r="Q417" s="208">
        <v>0</v>
      </c>
      <c r="R417" s="208">
        <v>0.86058519793459554</v>
      </c>
      <c r="S417" s="208">
        <v>0</v>
      </c>
      <c r="T417" s="208">
        <v>1</v>
      </c>
      <c r="U417" s="280" t="s">
        <v>2604</v>
      </c>
    </row>
    <row r="418" spans="1:21" x14ac:dyDescent="0.25">
      <c r="A418" s="211" t="s">
        <v>2619</v>
      </c>
      <c r="B418" s="209" t="s">
        <v>2607</v>
      </c>
      <c r="C418" s="209" t="s">
        <v>1911</v>
      </c>
      <c r="D418" s="209" t="s">
        <v>436</v>
      </c>
      <c r="E418" s="209" t="s">
        <v>1914</v>
      </c>
      <c r="F418" s="208">
        <v>6.9719444444444438E-3</v>
      </c>
      <c r="G418" s="208">
        <v>3.1445000000000003</v>
      </c>
      <c r="H418" s="209" t="s">
        <v>1916</v>
      </c>
      <c r="I418" s="209" t="s">
        <v>182</v>
      </c>
      <c r="J418" s="209" t="s">
        <v>1924</v>
      </c>
      <c r="K418" s="212" t="s">
        <v>2798</v>
      </c>
      <c r="L418" s="209"/>
      <c r="M418" s="208">
        <v>0</v>
      </c>
      <c r="N418" s="208">
        <v>1</v>
      </c>
      <c r="O418" s="208">
        <v>0</v>
      </c>
      <c r="P418" s="208">
        <v>1.1619999999999999</v>
      </c>
      <c r="Q418" s="208">
        <v>0</v>
      </c>
      <c r="R418" s="208">
        <v>0.86058519793459554</v>
      </c>
      <c r="S418" s="208">
        <v>0</v>
      </c>
      <c r="T418" s="208">
        <v>1</v>
      </c>
      <c r="U418" s="280" t="s">
        <v>2604</v>
      </c>
    </row>
    <row r="419" spans="1:21" x14ac:dyDescent="0.25">
      <c r="A419" s="211" t="s">
        <v>1733</v>
      </c>
      <c r="B419" s="209" t="s">
        <v>2607</v>
      </c>
      <c r="C419" s="209" t="s">
        <v>2620</v>
      </c>
      <c r="D419" s="209" t="s">
        <v>436</v>
      </c>
      <c r="E419" s="209" t="s">
        <v>1914</v>
      </c>
      <c r="F419" s="208">
        <v>6.9719444444444438E-3</v>
      </c>
      <c r="G419" s="208">
        <v>3.1445000000000003</v>
      </c>
      <c r="H419" s="209" t="s">
        <v>1916</v>
      </c>
      <c r="I419" s="209" t="s">
        <v>182</v>
      </c>
      <c r="J419" s="209" t="s">
        <v>1924</v>
      </c>
      <c r="K419" s="212" t="s">
        <v>2798</v>
      </c>
      <c r="L419" s="209"/>
      <c r="M419" s="208">
        <v>0</v>
      </c>
      <c r="N419" s="208">
        <v>1</v>
      </c>
      <c r="O419" s="208">
        <v>0</v>
      </c>
      <c r="P419" s="208">
        <v>1.1619999999999999</v>
      </c>
      <c r="Q419" s="208">
        <v>0</v>
      </c>
      <c r="R419" s="208">
        <v>0.86058519793459554</v>
      </c>
      <c r="S419" s="208">
        <v>0</v>
      </c>
      <c r="T419" s="208">
        <v>1</v>
      </c>
      <c r="U419" s="280" t="s">
        <v>2604</v>
      </c>
    </row>
    <row r="420" spans="1:21" x14ac:dyDescent="0.25">
      <c r="A420" s="211" t="s">
        <v>1735</v>
      </c>
      <c r="B420" s="209" t="s">
        <v>2607</v>
      </c>
      <c r="C420" s="209" t="s">
        <v>2621</v>
      </c>
      <c r="D420" s="209" t="s">
        <v>436</v>
      </c>
      <c r="E420" s="209" t="s">
        <v>1914</v>
      </c>
      <c r="F420" s="208">
        <v>6.9719444444444438E-3</v>
      </c>
      <c r="G420" s="208">
        <v>3.1445000000000003</v>
      </c>
      <c r="H420" s="209" t="s">
        <v>1916</v>
      </c>
      <c r="I420" s="209" t="s">
        <v>182</v>
      </c>
      <c r="J420" s="209" t="s">
        <v>1924</v>
      </c>
      <c r="K420" s="212" t="s">
        <v>2798</v>
      </c>
      <c r="L420" s="209"/>
      <c r="M420" s="208">
        <v>0</v>
      </c>
      <c r="N420" s="208">
        <v>1</v>
      </c>
      <c r="O420" s="208">
        <v>0</v>
      </c>
      <c r="P420" s="208">
        <v>1.1619999999999999</v>
      </c>
      <c r="Q420" s="208">
        <v>0</v>
      </c>
      <c r="R420" s="208">
        <v>0.86058519793459554</v>
      </c>
      <c r="S420" s="208">
        <v>0</v>
      </c>
      <c r="T420" s="208">
        <v>1</v>
      </c>
      <c r="U420" s="280" t="s">
        <v>2604</v>
      </c>
    </row>
    <row r="421" spans="1:21" x14ac:dyDescent="0.25">
      <c r="A421" s="211" t="s">
        <v>2631</v>
      </c>
      <c r="B421" s="209" t="s">
        <v>2607</v>
      </c>
      <c r="C421" s="209" t="s">
        <v>2632</v>
      </c>
      <c r="D421" s="209" t="s">
        <v>436</v>
      </c>
      <c r="E421" s="209" t="s">
        <v>1914</v>
      </c>
      <c r="F421" s="208">
        <v>6.9719444444444438E-3</v>
      </c>
      <c r="G421" s="208">
        <v>3.1445000000000003</v>
      </c>
      <c r="H421" s="209" t="s">
        <v>1916</v>
      </c>
      <c r="I421" s="209" t="s">
        <v>182</v>
      </c>
      <c r="J421" s="209" t="s">
        <v>1924</v>
      </c>
      <c r="K421" s="212" t="s">
        <v>2798</v>
      </c>
      <c r="L421" s="209"/>
      <c r="M421" s="208">
        <v>0</v>
      </c>
      <c r="N421" s="208">
        <v>1</v>
      </c>
      <c r="O421" s="208">
        <v>0</v>
      </c>
      <c r="P421" s="208">
        <v>1.1619999999999999</v>
      </c>
      <c r="Q421" s="208">
        <v>0</v>
      </c>
      <c r="R421" s="208">
        <v>0.86058519793459554</v>
      </c>
      <c r="S421" s="208">
        <v>0</v>
      </c>
      <c r="T421" s="208">
        <v>1</v>
      </c>
      <c r="U421" s="280" t="s">
        <v>2604</v>
      </c>
    </row>
    <row r="422" spans="1:21" x14ac:dyDescent="0.25">
      <c r="A422" s="211" t="s">
        <v>1784</v>
      </c>
      <c r="B422" s="209" t="s">
        <v>2651</v>
      </c>
      <c r="C422" s="209" t="s">
        <v>2657</v>
      </c>
      <c r="D422" s="209" t="s">
        <v>436</v>
      </c>
      <c r="E422" s="209" t="s">
        <v>1914</v>
      </c>
      <c r="F422" s="208">
        <v>1.6900666666666668E-2</v>
      </c>
      <c r="G422" s="208">
        <v>3.1136299999999997</v>
      </c>
      <c r="H422" s="209" t="s">
        <v>1916</v>
      </c>
      <c r="I422" s="209" t="s">
        <v>182</v>
      </c>
      <c r="J422" s="209" t="s">
        <v>1924</v>
      </c>
      <c r="K422" s="212" t="s">
        <v>2798</v>
      </c>
      <c r="L422" s="209"/>
      <c r="M422" s="208">
        <v>0</v>
      </c>
      <c r="N422" s="208">
        <v>1</v>
      </c>
      <c r="O422" s="208">
        <v>0</v>
      </c>
      <c r="P422" s="208">
        <v>1.2370000000000001</v>
      </c>
      <c r="Q422" s="208">
        <v>0</v>
      </c>
      <c r="R422" s="208">
        <v>0.80840743734842357</v>
      </c>
      <c r="S422" s="208">
        <v>0</v>
      </c>
      <c r="T422" s="208">
        <v>1</v>
      </c>
      <c r="U422" s="280" t="s">
        <v>2653</v>
      </c>
    </row>
    <row r="423" spans="1:21" x14ac:dyDescent="0.25">
      <c r="A423" s="211" t="s">
        <v>1786</v>
      </c>
      <c r="B423" s="209" t="s">
        <v>2651</v>
      </c>
      <c r="C423" s="209" t="s">
        <v>2658</v>
      </c>
      <c r="D423" s="209" t="s">
        <v>436</v>
      </c>
      <c r="E423" s="209" t="s">
        <v>1914</v>
      </c>
      <c r="F423" s="208">
        <v>1.6900666666666668E-2</v>
      </c>
      <c r="G423" s="208">
        <v>3.1136299999999997</v>
      </c>
      <c r="H423" s="209" t="s">
        <v>1916</v>
      </c>
      <c r="I423" s="209" t="s">
        <v>182</v>
      </c>
      <c r="J423" s="209" t="s">
        <v>1924</v>
      </c>
      <c r="K423" s="212" t="s">
        <v>2798</v>
      </c>
      <c r="L423" s="209"/>
      <c r="M423" s="208">
        <v>0</v>
      </c>
      <c r="N423" s="208">
        <v>1</v>
      </c>
      <c r="O423" s="208">
        <v>0</v>
      </c>
      <c r="P423" s="208">
        <v>1.2370000000000001</v>
      </c>
      <c r="Q423" s="208">
        <v>0</v>
      </c>
      <c r="R423" s="208">
        <v>0.80840743734842357</v>
      </c>
      <c r="S423" s="208">
        <v>0</v>
      </c>
      <c r="T423" s="208">
        <v>1</v>
      </c>
      <c r="U423" s="280" t="s">
        <v>2653</v>
      </c>
    </row>
    <row r="424" spans="1:21" x14ac:dyDescent="0.25">
      <c r="A424" s="211" t="s">
        <v>1762</v>
      </c>
      <c r="B424" s="209" t="s">
        <v>2607</v>
      </c>
      <c r="C424" s="209" t="s">
        <v>2633</v>
      </c>
      <c r="D424" s="209" t="s">
        <v>436</v>
      </c>
      <c r="E424" s="209" t="s">
        <v>1914</v>
      </c>
      <c r="F424" s="208">
        <v>6.9719444444444438E-3</v>
      </c>
      <c r="G424" s="208">
        <v>3.1445000000000003</v>
      </c>
      <c r="H424" s="209" t="s">
        <v>1916</v>
      </c>
      <c r="I424" s="209" t="s">
        <v>182</v>
      </c>
      <c r="J424" s="209" t="s">
        <v>1924</v>
      </c>
      <c r="K424" s="212" t="s">
        <v>2798</v>
      </c>
      <c r="L424" s="209"/>
      <c r="M424" s="208">
        <v>0</v>
      </c>
      <c r="N424" s="208">
        <v>1</v>
      </c>
      <c r="O424" s="208">
        <v>0</v>
      </c>
      <c r="P424" s="208">
        <v>1.1619999999999999</v>
      </c>
      <c r="Q424" s="208">
        <v>0</v>
      </c>
      <c r="R424" s="208">
        <v>0.86058519793459554</v>
      </c>
      <c r="S424" s="208">
        <v>0</v>
      </c>
      <c r="T424" s="208">
        <v>1</v>
      </c>
      <c r="U424" s="280" t="s">
        <v>2604</v>
      </c>
    </row>
    <row r="425" spans="1:21" x14ac:dyDescent="0.25">
      <c r="A425" s="211" t="s">
        <v>2624</v>
      </c>
      <c r="B425" s="209" t="s">
        <v>2607</v>
      </c>
      <c r="C425" s="209" t="s">
        <v>1911</v>
      </c>
      <c r="D425" s="209" t="s">
        <v>436</v>
      </c>
      <c r="E425" s="209" t="s">
        <v>1914</v>
      </c>
      <c r="F425" s="208">
        <v>6.9719444444444438E-3</v>
      </c>
      <c r="G425" s="208">
        <v>3.1445000000000003</v>
      </c>
      <c r="H425" s="209" t="s">
        <v>1916</v>
      </c>
      <c r="I425" s="209" t="s">
        <v>182</v>
      </c>
      <c r="J425" s="209" t="s">
        <v>1924</v>
      </c>
      <c r="K425" s="212" t="s">
        <v>2798</v>
      </c>
      <c r="L425" s="209"/>
      <c r="M425" s="208">
        <v>0</v>
      </c>
      <c r="N425" s="208">
        <v>1</v>
      </c>
      <c r="O425" s="208">
        <v>0</v>
      </c>
      <c r="P425" s="208">
        <v>1.1619999999999999</v>
      </c>
      <c r="Q425" s="208">
        <v>0</v>
      </c>
      <c r="R425" s="208">
        <v>0.86058519793459554</v>
      </c>
      <c r="S425" s="208">
        <v>0</v>
      </c>
      <c r="T425" s="208">
        <v>1</v>
      </c>
      <c r="U425" s="280" t="s">
        <v>2604</v>
      </c>
    </row>
    <row r="426" spans="1:21" x14ac:dyDescent="0.25">
      <c r="A426" s="211" t="s">
        <v>1764</v>
      </c>
      <c r="B426" s="209" t="s">
        <v>2607</v>
      </c>
      <c r="C426" s="209" t="s">
        <v>2625</v>
      </c>
      <c r="D426" s="209" t="s">
        <v>436</v>
      </c>
      <c r="E426" s="209" t="s">
        <v>1914</v>
      </c>
      <c r="F426" s="208">
        <v>6.9719444444444438E-3</v>
      </c>
      <c r="G426" s="208">
        <v>3.1445000000000003</v>
      </c>
      <c r="H426" s="209" t="s">
        <v>1916</v>
      </c>
      <c r="I426" s="209" t="s">
        <v>182</v>
      </c>
      <c r="J426" s="209" t="s">
        <v>1924</v>
      </c>
      <c r="K426" s="212" t="s">
        <v>2798</v>
      </c>
      <c r="L426" s="209"/>
      <c r="M426" s="208">
        <v>0</v>
      </c>
      <c r="N426" s="208">
        <v>1</v>
      </c>
      <c r="O426" s="208">
        <v>0</v>
      </c>
      <c r="P426" s="208">
        <v>1.1619999999999999</v>
      </c>
      <c r="Q426" s="208">
        <v>0</v>
      </c>
      <c r="R426" s="208">
        <v>0.86058519793459554</v>
      </c>
      <c r="S426" s="208">
        <v>0</v>
      </c>
      <c r="T426" s="208">
        <v>1</v>
      </c>
      <c r="U426" s="280" t="s">
        <v>2604</v>
      </c>
    </row>
    <row r="427" spans="1:21" x14ac:dyDescent="0.25">
      <c r="A427" s="211" t="s">
        <v>2626</v>
      </c>
      <c r="B427" s="209" t="s">
        <v>2607</v>
      </c>
      <c r="C427" s="209" t="s">
        <v>2627</v>
      </c>
      <c r="D427" s="209" t="s">
        <v>436</v>
      </c>
      <c r="E427" s="209" t="s">
        <v>1914</v>
      </c>
      <c r="F427" s="208">
        <v>6.9719444444444438E-3</v>
      </c>
      <c r="G427" s="208">
        <v>3.1445000000000003</v>
      </c>
      <c r="H427" s="209" t="s">
        <v>1916</v>
      </c>
      <c r="I427" s="209" t="s">
        <v>182</v>
      </c>
      <c r="J427" s="209" t="s">
        <v>1924</v>
      </c>
      <c r="K427" s="212" t="s">
        <v>2798</v>
      </c>
      <c r="L427" s="209"/>
      <c r="M427" s="208">
        <v>0</v>
      </c>
      <c r="N427" s="208">
        <v>1</v>
      </c>
      <c r="O427" s="208">
        <v>0</v>
      </c>
      <c r="P427" s="208">
        <v>1.1619999999999999</v>
      </c>
      <c r="Q427" s="208">
        <v>0</v>
      </c>
      <c r="R427" s="208">
        <v>0.86058519793459554</v>
      </c>
      <c r="S427" s="208">
        <v>0</v>
      </c>
      <c r="T427" s="208">
        <v>1</v>
      </c>
      <c r="U427" s="280" t="s">
        <v>2604</v>
      </c>
    </row>
    <row r="428" spans="1:21" x14ac:dyDescent="0.25">
      <c r="A428" s="211" t="s">
        <v>1766</v>
      </c>
      <c r="B428" s="209" t="s">
        <v>2607</v>
      </c>
      <c r="C428" s="209" t="s">
        <v>2628</v>
      </c>
      <c r="D428" s="209" t="s">
        <v>436</v>
      </c>
      <c r="E428" s="209" t="s">
        <v>1914</v>
      </c>
      <c r="F428" s="208">
        <v>6.9719444444444438E-3</v>
      </c>
      <c r="G428" s="208">
        <v>3.1445000000000003</v>
      </c>
      <c r="H428" s="209" t="s">
        <v>1916</v>
      </c>
      <c r="I428" s="209" t="s">
        <v>182</v>
      </c>
      <c r="J428" s="209" t="s">
        <v>1924</v>
      </c>
      <c r="K428" s="212" t="s">
        <v>2798</v>
      </c>
      <c r="L428" s="209"/>
      <c r="M428" s="208">
        <v>0</v>
      </c>
      <c r="N428" s="208">
        <v>1</v>
      </c>
      <c r="O428" s="208">
        <v>0</v>
      </c>
      <c r="P428" s="208">
        <v>1.1619999999999999</v>
      </c>
      <c r="Q428" s="208">
        <v>0</v>
      </c>
      <c r="R428" s="208">
        <v>0.86058519793459554</v>
      </c>
      <c r="S428" s="208">
        <v>0</v>
      </c>
      <c r="T428" s="208">
        <v>1</v>
      </c>
      <c r="U428" s="280" t="s">
        <v>2604</v>
      </c>
    </row>
    <row r="429" spans="1:21" x14ac:dyDescent="0.25">
      <c r="A429" s="211" t="s">
        <v>2659</v>
      </c>
      <c r="B429" s="209" t="s">
        <v>2660</v>
      </c>
      <c r="C429" s="209" t="s">
        <v>2661</v>
      </c>
      <c r="D429" s="209" t="s">
        <v>461</v>
      </c>
      <c r="E429" s="209" t="s">
        <v>1914</v>
      </c>
      <c r="F429" s="208">
        <v>6.5760869565217386E-3</v>
      </c>
      <c r="G429" s="208">
        <v>3.1493043478260883</v>
      </c>
      <c r="H429" s="209" t="s">
        <v>1916</v>
      </c>
      <c r="I429" s="209" t="s">
        <v>182</v>
      </c>
      <c r="J429" s="209" t="s">
        <v>1924</v>
      </c>
      <c r="K429" s="212" t="s">
        <v>2798</v>
      </c>
      <c r="L429" s="209"/>
      <c r="M429" s="208">
        <v>0</v>
      </c>
      <c r="N429" s="208">
        <v>1</v>
      </c>
      <c r="O429" s="208">
        <v>0</v>
      </c>
      <c r="P429" s="208">
        <v>1.07</v>
      </c>
      <c r="Q429" s="208">
        <v>0</v>
      </c>
      <c r="R429" s="208">
        <v>0.93500000000000005</v>
      </c>
      <c r="S429" s="208">
        <v>0</v>
      </c>
      <c r="T429" s="208">
        <v>1</v>
      </c>
      <c r="U429" s="280" t="s">
        <v>2662</v>
      </c>
    </row>
    <row r="430" spans="1:21" x14ac:dyDescent="0.25">
      <c r="A430" s="211" t="s">
        <v>2663</v>
      </c>
      <c r="B430" s="209" t="s">
        <v>2660</v>
      </c>
      <c r="C430" s="209" t="s">
        <v>1911</v>
      </c>
      <c r="D430" s="209" t="s">
        <v>461</v>
      </c>
      <c r="E430" s="209" t="s">
        <v>1914</v>
      </c>
      <c r="F430" s="208">
        <v>6.5760869565217386E-3</v>
      </c>
      <c r="G430" s="208">
        <v>3.1493043478260883</v>
      </c>
      <c r="H430" s="209" t="s">
        <v>1916</v>
      </c>
      <c r="I430" s="209" t="s">
        <v>182</v>
      </c>
      <c r="J430" s="209" t="s">
        <v>1924</v>
      </c>
      <c r="K430" s="212" t="s">
        <v>2798</v>
      </c>
      <c r="L430" s="209"/>
      <c r="M430" s="208">
        <v>0</v>
      </c>
      <c r="N430" s="208">
        <v>1</v>
      </c>
      <c r="O430" s="208">
        <v>0</v>
      </c>
      <c r="P430" s="208">
        <v>1.07</v>
      </c>
      <c r="Q430" s="208">
        <v>0</v>
      </c>
      <c r="R430" s="208">
        <v>0.93500000000000005</v>
      </c>
      <c r="S430" s="208">
        <v>0</v>
      </c>
      <c r="T430" s="208">
        <v>1</v>
      </c>
      <c r="U430" s="280" t="s">
        <v>2662</v>
      </c>
    </row>
    <row r="431" spans="1:21" x14ac:dyDescent="0.25">
      <c r="A431" s="211" t="s">
        <v>2664</v>
      </c>
      <c r="B431" s="209" t="s">
        <v>2660</v>
      </c>
      <c r="C431" s="209" t="s">
        <v>1911</v>
      </c>
      <c r="D431" s="209" t="s">
        <v>461</v>
      </c>
      <c r="E431" s="209" t="s">
        <v>1914</v>
      </c>
      <c r="F431" s="208">
        <v>6.5760869565217386E-3</v>
      </c>
      <c r="G431" s="208">
        <v>3.1493043478260883</v>
      </c>
      <c r="H431" s="209" t="s">
        <v>1916</v>
      </c>
      <c r="I431" s="209" t="s">
        <v>182</v>
      </c>
      <c r="J431" s="209" t="s">
        <v>1924</v>
      </c>
      <c r="K431" s="212" t="s">
        <v>2798</v>
      </c>
      <c r="L431" s="209"/>
      <c r="M431" s="208">
        <v>0</v>
      </c>
      <c r="N431" s="208">
        <v>1</v>
      </c>
      <c r="O431" s="208">
        <v>0</v>
      </c>
      <c r="P431" s="208">
        <v>1.07</v>
      </c>
      <c r="Q431" s="208">
        <v>0</v>
      </c>
      <c r="R431" s="208">
        <v>0.93500000000000005</v>
      </c>
      <c r="S431" s="208">
        <v>0</v>
      </c>
      <c r="T431" s="208">
        <v>1</v>
      </c>
      <c r="U431" s="280" t="s">
        <v>2662</v>
      </c>
    </row>
    <row r="432" spans="1:21" x14ac:dyDescent="0.25">
      <c r="A432" s="211" t="s">
        <v>2667</v>
      </c>
      <c r="B432" s="209" t="s">
        <v>2660</v>
      </c>
      <c r="C432" s="209" t="s">
        <v>2668</v>
      </c>
      <c r="D432" s="209" t="s">
        <v>461</v>
      </c>
      <c r="E432" s="209" t="s">
        <v>1914</v>
      </c>
      <c r="F432" s="208">
        <v>6.5760869565217386E-3</v>
      </c>
      <c r="G432" s="208">
        <v>3.1493043478260883</v>
      </c>
      <c r="H432" s="209" t="s">
        <v>1916</v>
      </c>
      <c r="I432" s="209" t="s">
        <v>182</v>
      </c>
      <c r="J432" s="209" t="s">
        <v>1924</v>
      </c>
      <c r="K432" s="212" t="s">
        <v>2798</v>
      </c>
      <c r="L432" s="209"/>
      <c r="M432" s="208">
        <v>0</v>
      </c>
      <c r="N432" s="208">
        <v>1</v>
      </c>
      <c r="O432" s="208">
        <v>0</v>
      </c>
      <c r="P432" s="208">
        <v>1.07</v>
      </c>
      <c r="Q432" s="208">
        <v>0</v>
      </c>
      <c r="R432" s="208">
        <v>0.93500000000000005</v>
      </c>
      <c r="S432" s="208">
        <v>0</v>
      </c>
      <c r="T432" s="208">
        <v>1</v>
      </c>
      <c r="U432" s="280" t="s">
        <v>2662</v>
      </c>
    </row>
    <row r="433" spans="1:21" x14ac:dyDescent="0.25">
      <c r="A433" s="211" t="s">
        <v>2676</v>
      </c>
      <c r="B433" s="209" t="s">
        <v>2660</v>
      </c>
      <c r="C433" s="209" t="s">
        <v>2677</v>
      </c>
      <c r="D433" s="209" t="s">
        <v>461</v>
      </c>
      <c r="E433" s="209" t="s">
        <v>1914</v>
      </c>
      <c r="F433" s="208">
        <v>6.5760869565217386E-3</v>
      </c>
      <c r="G433" s="208">
        <v>3.1493043478260883</v>
      </c>
      <c r="H433" s="209" t="s">
        <v>1916</v>
      </c>
      <c r="I433" s="209" t="s">
        <v>182</v>
      </c>
      <c r="J433" s="209" t="s">
        <v>1924</v>
      </c>
      <c r="K433" s="212" t="s">
        <v>2798</v>
      </c>
      <c r="L433" s="209"/>
      <c r="M433" s="208">
        <v>0</v>
      </c>
      <c r="N433" s="208">
        <v>1</v>
      </c>
      <c r="O433" s="208">
        <v>0</v>
      </c>
      <c r="P433" s="208">
        <v>1.07</v>
      </c>
      <c r="Q433" s="208">
        <v>0</v>
      </c>
      <c r="R433" s="208">
        <v>0.93500000000000005</v>
      </c>
      <c r="S433" s="208">
        <v>0</v>
      </c>
      <c r="T433" s="208">
        <v>1</v>
      </c>
      <c r="U433" s="280" t="s">
        <v>2662</v>
      </c>
    </row>
    <row r="434" spans="1:21" x14ac:dyDescent="0.25">
      <c r="A434" s="211" t="s">
        <v>2665</v>
      </c>
      <c r="B434" s="209" t="s">
        <v>2660</v>
      </c>
      <c r="C434" s="209" t="s">
        <v>2666</v>
      </c>
      <c r="D434" s="209" t="s">
        <v>461</v>
      </c>
      <c r="E434" s="209" t="s">
        <v>1914</v>
      </c>
      <c r="F434" s="208">
        <v>6.5760869565217386E-3</v>
      </c>
      <c r="G434" s="208">
        <v>3.1493043478260883</v>
      </c>
      <c r="H434" s="209" t="s">
        <v>1916</v>
      </c>
      <c r="I434" s="209" t="s">
        <v>182</v>
      </c>
      <c r="J434" s="209" t="s">
        <v>1924</v>
      </c>
      <c r="K434" s="212" t="s">
        <v>2798</v>
      </c>
      <c r="L434" s="209"/>
      <c r="M434" s="208">
        <v>0</v>
      </c>
      <c r="N434" s="208">
        <v>1</v>
      </c>
      <c r="O434" s="208">
        <v>0</v>
      </c>
      <c r="P434" s="208">
        <v>1.07</v>
      </c>
      <c r="Q434" s="208">
        <v>0</v>
      </c>
      <c r="R434" s="208">
        <v>0.93500000000000005</v>
      </c>
      <c r="S434" s="208">
        <v>0</v>
      </c>
      <c r="T434" s="208">
        <v>1</v>
      </c>
      <c r="U434" s="280" t="s">
        <v>2662</v>
      </c>
    </row>
    <row r="435" spans="1:21" x14ac:dyDescent="0.25">
      <c r="A435" s="211" t="s">
        <v>2672</v>
      </c>
      <c r="B435" s="209" t="s">
        <v>2660</v>
      </c>
      <c r="C435" s="209" t="s">
        <v>2673</v>
      </c>
      <c r="D435" s="209" t="s">
        <v>461</v>
      </c>
      <c r="E435" s="209" t="s">
        <v>1914</v>
      </c>
      <c r="F435" s="208">
        <v>6.5760869565217386E-3</v>
      </c>
      <c r="G435" s="208">
        <v>3.1493043478260883</v>
      </c>
      <c r="H435" s="209" t="s">
        <v>1916</v>
      </c>
      <c r="I435" s="209" t="s">
        <v>182</v>
      </c>
      <c r="J435" s="209" t="s">
        <v>1924</v>
      </c>
      <c r="K435" s="212" t="s">
        <v>2798</v>
      </c>
      <c r="L435" s="209"/>
      <c r="M435" s="208">
        <v>0</v>
      </c>
      <c r="N435" s="208">
        <v>1</v>
      </c>
      <c r="O435" s="208">
        <v>0</v>
      </c>
      <c r="P435" s="208">
        <v>1.07</v>
      </c>
      <c r="Q435" s="208">
        <v>0</v>
      </c>
      <c r="R435" s="208">
        <v>0.93500000000000005</v>
      </c>
      <c r="S435" s="208">
        <v>0</v>
      </c>
      <c r="T435" s="208">
        <v>1</v>
      </c>
      <c r="U435" s="280" t="s">
        <v>2662</v>
      </c>
    </row>
    <row r="436" spans="1:21" x14ac:dyDescent="0.25">
      <c r="A436" s="211" t="s">
        <v>1789</v>
      </c>
      <c r="B436" s="209" t="s">
        <v>2660</v>
      </c>
      <c r="C436" s="209" t="s">
        <v>2669</v>
      </c>
      <c r="D436" s="209" t="s">
        <v>461</v>
      </c>
      <c r="E436" s="209" t="s">
        <v>1914</v>
      </c>
      <c r="F436" s="208">
        <v>6.5760869565217386E-3</v>
      </c>
      <c r="G436" s="208">
        <v>3.1493043478260883</v>
      </c>
      <c r="H436" s="209" t="s">
        <v>1916</v>
      </c>
      <c r="I436" s="209" t="s">
        <v>182</v>
      </c>
      <c r="J436" s="209" t="s">
        <v>1924</v>
      </c>
      <c r="K436" s="212" t="s">
        <v>2798</v>
      </c>
      <c r="L436" s="209"/>
      <c r="M436" s="208">
        <v>0</v>
      </c>
      <c r="N436" s="208">
        <v>1</v>
      </c>
      <c r="O436" s="208">
        <v>0</v>
      </c>
      <c r="P436" s="208">
        <v>1.07</v>
      </c>
      <c r="Q436" s="208">
        <v>0</v>
      </c>
      <c r="R436" s="208">
        <v>0.93500000000000005</v>
      </c>
      <c r="S436" s="208">
        <v>0</v>
      </c>
      <c r="T436" s="208">
        <v>1</v>
      </c>
      <c r="U436" s="280" t="s">
        <v>2662</v>
      </c>
    </row>
    <row r="437" spans="1:21" x14ac:dyDescent="0.25">
      <c r="A437" s="211" t="s">
        <v>2674</v>
      </c>
      <c r="B437" s="209" t="s">
        <v>2660</v>
      </c>
      <c r="C437" s="209" t="s">
        <v>2675</v>
      </c>
      <c r="D437" s="209" t="s">
        <v>461</v>
      </c>
      <c r="E437" s="209" t="s">
        <v>1914</v>
      </c>
      <c r="F437" s="208">
        <v>6.5760869565217386E-3</v>
      </c>
      <c r="G437" s="208">
        <v>3.1493043478260883</v>
      </c>
      <c r="H437" s="209" t="s">
        <v>1916</v>
      </c>
      <c r="I437" s="209" t="s">
        <v>182</v>
      </c>
      <c r="J437" s="209" t="s">
        <v>1924</v>
      </c>
      <c r="K437" s="212" t="s">
        <v>2798</v>
      </c>
      <c r="L437" s="209"/>
      <c r="M437" s="208">
        <v>0</v>
      </c>
      <c r="N437" s="208">
        <v>1</v>
      </c>
      <c r="O437" s="208">
        <v>0</v>
      </c>
      <c r="P437" s="208">
        <v>1.07</v>
      </c>
      <c r="Q437" s="208">
        <v>0</v>
      </c>
      <c r="R437" s="208">
        <v>0.93500000000000005</v>
      </c>
      <c r="S437" s="208">
        <v>0</v>
      </c>
      <c r="T437" s="208">
        <v>1</v>
      </c>
      <c r="U437" s="280" t="s">
        <v>2662</v>
      </c>
    </row>
    <row r="438" spans="1:21" x14ac:dyDescent="0.25">
      <c r="A438" s="211" t="s">
        <v>2670</v>
      </c>
      <c r="B438" s="209" t="s">
        <v>2660</v>
      </c>
      <c r="C438" s="209" t="s">
        <v>2671</v>
      </c>
      <c r="D438" s="209" t="s">
        <v>461</v>
      </c>
      <c r="E438" s="209" t="s">
        <v>1914</v>
      </c>
      <c r="F438" s="208">
        <v>6.5760869565217386E-3</v>
      </c>
      <c r="G438" s="208">
        <v>3.1493043478260883</v>
      </c>
      <c r="H438" s="209" t="s">
        <v>1916</v>
      </c>
      <c r="I438" s="209" t="s">
        <v>182</v>
      </c>
      <c r="J438" s="209" t="s">
        <v>1924</v>
      </c>
      <c r="K438" s="212" t="s">
        <v>2798</v>
      </c>
      <c r="L438" s="209"/>
      <c r="M438" s="208">
        <v>0</v>
      </c>
      <c r="N438" s="208">
        <v>1</v>
      </c>
      <c r="O438" s="208">
        <v>0</v>
      </c>
      <c r="P438" s="208">
        <v>1.07</v>
      </c>
      <c r="Q438" s="208">
        <v>0</v>
      </c>
      <c r="R438" s="208">
        <v>0.93500000000000005</v>
      </c>
      <c r="S438" s="208">
        <v>0</v>
      </c>
      <c r="T438" s="208">
        <v>1</v>
      </c>
      <c r="U438" s="280" t="s">
        <v>2662</v>
      </c>
    </row>
    <row r="439" spans="1:21" x14ac:dyDescent="0.25">
      <c r="A439" s="211" t="s">
        <v>2634</v>
      </c>
      <c r="B439" s="209" t="s">
        <v>2607</v>
      </c>
      <c r="C439" s="209" t="s">
        <v>2635</v>
      </c>
      <c r="D439" s="209" t="s">
        <v>436</v>
      </c>
      <c r="E439" s="209" t="s">
        <v>1914</v>
      </c>
      <c r="F439" s="208">
        <v>6.9719444444444438E-3</v>
      </c>
      <c r="G439" s="208">
        <v>3.1445000000000003</v>
      </c>
      <c r="H439" s="209" t="s">
        <v>1916</v>
      </c>
      <c r="I439" s="209" t="s">
        <v>182</v>
      </c>
      <c r="J439" s="209" t="s">
        <v>1924</v>
      </c>
      <c r="K439" s="212" t="s">
        <v>2798</v>
      </c>
      <c r="L439" s="209"/>
      <c r="M439" s="208">
        <v>0</v>
      </c>
      <c r="N439" s="208">
        <v>1</v>
      </c>
      <c r="O439" s="208">
        <v>0</v>
      </c>
      <c r="P439" s="208">
        <v>1.1619999999999999</v>
      </c>
      <c r="Q439" s="208">
        <v>0</v>
      </c>
      <c r="R439" s="208">
        <v>0.86058519793459554</v>
      </c>
      <c r="S439" s="208">
        <v>0</v>
      </c>
      <c r="T439" s="208">
        <v>1</v>
      </c>
      <c r="U439" s="280" t="s">
        <v>2604</v>
      </c>
    </row>
    <row r="440" spans="1:21" x14ac:dyDescent="0.25">
      <c r="A440" s="211" t="s">
        <v>2655</v>
      </c>
      <c r="B440" s="209" t="s">
        <v>2651</v>
      </c>
      <c r="C440" s="209" t="s">
        <v>2656</v>
      </c>
      <c r="D440" s="209" t="s">
        <v>436</v>
      </c>
      <c r="E440" s="209" t="s">
        <v>1914</v>
      </c>
      <c r="F440" s="208">
        <v>1.6900666666666668E-2</v>
      </c>
      <c r="G440" s="208">
        <v>3.1136299999999997</v>
      </c>
      <c r="H440" s="209" t="s">
        <v>1916</v>
      </c>
      <c r="I440" s="209" t="s">
        <v>182</v>
      </c>
      <c r="J440" s="209" t="s">
        <v>1924</v>
      </c>
      <c r="K440" s="212" t="s">
        <v>2798</v>
      </c>
      <c r="L440" s="209"/>
      <c r="M440" s="208">
        <v>0</v>
      </c>
      <c r="N440" s="208">
        <v>1</v>
      </c>
      <c r="O440" s="208">
        <v>0</v>
      </c>
      <c r="P440" s="208">
        <v>1.2370000000000001</v>
      </c>
      <c r="Q440" s="208">
        <v>0</v>
      </c>
      <c r="R440" s="208">
        <v>0.80840743734842357</v>
      </c>
      <c r="S440" s="208">
        <v>0</v>
      </c>
      <c r="T440" s="208">
        <v>1</v>
      </c>
      <c r="U440" s="280" t="s">
        <v>2653</v>
      </c>
    </row>
    <row r="441" spans="1:21" x14ac:dyDescent="0.25">
      <c r="A441" s="211" t="s">
        <v>1780</v>
      </c>
      <c r="B441" s="209" t="s">
        <v>2651</v>
      </c>
      <c r="C441" s="209" t="s">
        <v>2654</v>
      </c>
      <c r="D441" s="209" t="s">
        <v>436</v>
      </c>
      <c r="E441" s="209" t="s">
        <v>1914</v>
      </c>
      <c r="F441" s="208">
        <v>1.6900666666666668E-2</v>
      </c>
      <c r="G441" s="208">
        <v>3.1136299999999997</v>
      </c>
      <c r="H441" s="209" t="s">
        <v>1916</v>
      </c>
      <c r="I441" s="209" t="s">
        <v>182</v>
      </c>
      <c r="J441" s="209" t="s">
        <v>1924</v>
      </c>
      <c r="K441" s="212" t="s">
        <v>2798</v>
      </c>
      <c r="L441" s="209"/>
      <c r="M441" s="208">
        <v>0</v>
      </c>
      <c r="N441" s="208">
        <v>1</v>
      </c>
      <c r="O441" s="208">
        <v>0</v>
      </c>
      <c r="P441" s="208">
        <v>1.2370000000000001</v>
      </c>
      <c r="Q441" s="208">
        <v>0</v>
      </c>
      <c r="R441" s="208">
        <v>0.80840743734842357</v>
      </c>
      <c r="S441" s="208">
        <v>0</v>
      </c>
      <c r="T441" s="208">
        <v>1</v>
      </c>
      <c r="U441" s="280" t="s">
        <v>2653</v>
      </c>
    </row>
    <row r="442" spans="1:21" x14ac:dyDescent="0.25">
      <c r="A442" s="211" t="s">
        <v>1514</v>
      </c>
      <c r="B442" s="209" t="s">
        <v>2475</v>
      </c>
      <c r="C442" s="209" t="s">
        <v>2479</v>
      </c>
      <c r="D442" s="209" t="s">
        <v>450</v>
      </c>
      <c r="E442" s="209" t="s">
        <v>1914</v>
      </c>
      <c r="F442" s="208">
        <v>1.7963888888888897E-2</v>
      </c>
      <c r="G442" s="208">
        <v>2.990647222222222</v>
      </c>
      <c r="H442" s="209" t="s">
        <v>1916</v>
      </c>
      <c r="I442" s="209" t="s">
        <v>182</v>
      </c>
      <c r="J442" s="209" t="s">
        <v>1924</v>
      </c>
      <c r="K442" s="212" t="s">
        <v>2798</v>
      </c>
      <c r="L442" s="209"/>
      <c r="M442" s="208">
        <v>0</v>
      </c>
      <c r="N442" s="208">
        <v>1.139</v>
      </c>
      <c r="O442" s="208">
        <v>0</v>
      </c>
      <c r="P442" s="208">
        <v>1.3080000000000001</v>
      </c>
      <c r="Q442" s="208">
        <v>0</v>
      </c>
      <c r="R442" s="208">
        <v>0.76452599388379205</v>
      </c>
      <c r="S442" s="208">
        <v>0</v>
      </c>
      <c r="T442" s="208">
        <v>0.87796312554872691</v>
      </c>
      <c r="U442" s="280" t="s">
        <v>2477</v>
      </c>
    </row>
    <row r="443" spans="1:21" x14ac:dyDescent="0.25">
      <c r="A443" s="211" t="s">
        <v>1516</v>
      </c>
      <c r="B443" s="209" t="s">
        <v>2475</v>
      </c>
      <c r="C443" s="209" t="s">
        <v>2478</v>
      </c>
      <c r="D443" s="209" t="s">
        <v>450</v>
      </c>
      <c r="E443" s="209" t="s">
        <v>1914</v>
      </c>
      <c r="F443" s="208">
        <v>1.7963888888888897E-2</v>
      </c>
      <c r="G443" s="208">
        <v>2.990647222222222</v>
      </c>
      <c r="H443" s="209" t="s">
        <v>1916</v>
      </c>
      <c r="I443" s="209" t="s">
        <v>182</v>
      </c>
      <c r="J443" s="209" t="s">
        <v>1924</v>
      </c>
      <c r="K443" s="212" t="s">
        <v>2798</v>
      </c>
      <c r="L443" s="209"/>
      <c r="M443" s="208">
        <v>0</v>
      </c>
      <c r="N443" s="208">
        <v>1.139</v>
      </c>
      <c r="O443" s="208">
        <v>0</v>
      </c>
      <c r="P443" s="208">
        <v>1.3080000000000001</v>
      </c>
      <c r="Q443" s="208">
        <v>0</v>
      </c>
      <c r="R443" s="208">
        <v>0.76452599388379205</v>
      </c>
      <c r="S443" s="208">
        <v>0</v>
      </c>
      <c r="T443" s="208">
        <v>0.87796312554872691</v>
      </c>
      <c r="U443" s="280" t="s">
        <v>2477</v>
      </c>
    </row>
    <row r="444" spans="1:21" x14ac:dyDescent="0.25">
      <c r="A444" s="211" t="s">
        <v>2387</v>
      </c>
      <c r="B444" s="209" t="s">
        <v>2335</v>
      </c>
      <c r="C444" s="209" t="s">
        <v>2388</v>
      </c>
      <c r="D444" s="209" t="s">
        <v>450</v>
      </c>
      <c r="E444" s="209" t="s">
        <v>1914</v>
      </c>
      <c r="F444" s="208">
        <v>1.6951367521367521E-2</v>
      </c>
      <c r="G444" s="208">
        <v>3.0200282051282055</v>
      </c>
      <c r="H444" s="209" t="s">
        <v>1916</v>
      </c>
      <c r="I444" s="209" t="s">
        <v>182</v>
      </c>
      <c r="J444" s="209" t="s">
        <v>1924</v>
      </c>
      <c r="K444" s="212" t="s">
        <v>2798</v>
      </c>
      <c r="L444" s="209"/>
      <c r="M444" s="208">
        <v>0</v>
      </c>
      <c r="N444" s="208">
        <v>1.3149999999999999</v>
      </c>
      <c r="O444" s="208">
        <v>0</v>
      </c>
      <c r="P444" s="208">
        <v>1.5329999999999999</v>
      </c>
      <c r="Q444" s="208">
        <v>0</v>
      </c>
      <c r="R444" s="208">
        <v>0.65231572080887157</v>
      </c>
      <c r="S444" s="208">
        <v>0</v>
      </c>
      <c r="T444" s="208">
        <v>0.76045627376425862</v>
      </c>
      <c r="U444" s="280" t="s">
        <v>2337</v>
      </c>
    </row>
    <row r="445" spans="1:21" x14ac:dyDescent="0.25">
      <c r="A445" s="211" t="s">
        <v>2395</v>
      </c>
      <c r="B445" s="209" t="s">
        <v>2389</v>
      </c>
      <c r="C445" s="209" t="s">
        <v>2390</v>
      </c>
      <c r="D445" s="209" t="s">
        <v>450</v>
      </c>
      <c r="E445" s="209" t="s">
        <v>1914</v>
      </c>
      <c r="F445" s="208">
        <v>8.9999999999999993E-3</v>
      </c>
      <c r="G445" s="208">
        <v>3.02</v>
      </c>
      <c r="H445" s="209" t="s">
        <v>1916</v>
      </c>
      <c r="I445" s="209" t="s">
        <v>182</v>
      </c>
      <c r="J445" s="209" t="s">
        <v>1924</v>
      </c>
      <c r="K445" s="212" t="s">
        <v>2798</v>
      </c>
      <c r="L445" s="209"/>
      <c r="M445" s="218" t="s">
        <v>147</v>
      </c>
      <c r="N445" s="218" t="s">
        <v>147</v>
      </c>
      <c r="O445" s="218" t="s">
        <v>147</v>
      </c>
      <c r="P445" s="218" t="s">
        <v>147</v>
      </c>
      <c r="Q445" s="218" t="s">
        <v>147</v>
      </c>
      <c r="R445" s="218" t="s">
        <v>147</v>
      </c>
      <c r="S445" s="218" t="s">
        <v>147</v>
      </c>
      <c r="T445" s="218" t="s">
        <v>147</v>
      </c>
      <c r="U445" s="280" t="s">
        <v>1911</v>
      </c>
    </row>
    <row r="446" spans="1:21" x14ac:dyDescent="0.25">
      <c r="A446" s="211" t="s">
        <v>2399</v>
      </c>
      <c r="B446" s="209" t="s">
        <v>2389</v>
      </c>
      <c r="C446" s="209" t="s">
        <v>2400</v>
      </c>
      <c r="D446" s="209" t="s">
        <v>450</v>
      </c>
      <c r="E446" s="209" t="s">
        <v>1914</v>
      </c>
      <c r="F446" s="208">
        <v>8.9999999999999993E-3</v>
      </c>
      <c r="G446" s="208">
        <v>3.02</v>
      </c>
      <c r="H446" s="209" t="s">
        <v>1916</v>
      </c>
      <c r="I446" s="209" t="s">
        <v>182</v>
      </c>
      <c r="J446" s="209" t="s">
        <v>1924</v>
      </c>
      <c r="K446" s="212" t="s">
        <v>2798</v>
      </c>
      <c r="L446" s="209"/>
      <c r="M446" s="218" t="s">
        <v>147</v>
      </c>
      <c r="N446" s="218" t="s">
        <v>147</v>
      </c>
      <c r="O446" s="218" t="s">
        <v>147</v>
      </c>
      <c r="P446" s="218" t="s">
        <v>147</v>
      </c>
      <c r="Q446" s="218" t="s">
        <v>147</v>
      </c>
      <c r="R446" s="218" t="s">
        <v>147</v>
      </c>
      <c r="S446" s="218" t="s">
        <v>147</v>
      </c>
      <c r="T446" s="218" t="s">
        <v>147</v>
      </c>
      <c r="U446" s="280" t="s">
        <v>1911</v>
      </c>
    </row>
    <row r="447" spans="1:21" x14ac:dyDescent="0.25">
      <c r="A447" s="211" t="s">
        <v>2405</v>
      </c>
      <c r="B447" s="209" t="s">
        <v>2389</v>
      </c>
      <c r="C447" s="209" t="s">
        <v>1911</v>
      </c>
      <c r="D447" s="209" t="s">
        <v>450</v>
      </c>
      <c r="E447" s="209" t="s">
        <v>1914</v>
      </c>
      <c r="F447" s="208">
        <v>8.9999999999999993E-3</v>
      </c>
      <c r="G447" s="208">
        <v>3.02</v>
      </c>
      <c r="H447" s="209" t="s">
        <v>1916</v>
      </c>
      <c r="I447" s="209" t="s">
        <v>182</v>
      </c>
      <c r="J447" s="209" t="s">
        <v>1924</v>
      </c>
      <c r="K447" s="212" t="s">
        <v>2798</v>
      </c>
      <c r="L447" s="209"/>
      <c r="M447" s="218" t="s">
        <v>147</v>
      </c>
      <c r="N447" s="218" t="s">
        <v>147</v>
      </c>
      <c r="O447" s="218" t="s">
        <v>147</v>
      </c>
      <c r="P447" s="218" t="s">
        <v>147</v>
      </c>
      <c r="Q447" s="218" t="s">
        <v>147</v>
      </c>
      <c r="R447" s="218" t="s">
        <v>147</v>
      </c>
      <c r="S447" s="218" t="s">
        <v>147</v>
      </c>
      <c r="T447" s="218" t="s">
        <v>147</v>
      </c>
      <c r="U447" s="280" t="s">
        <v>1911</v>
      </c>
    </row>
    <row r="448" spans="1:21" x14ac:dyDescent="0.25">
      <c r="A448" s="211" t="s">
        <v>2396</v>
      </c>
      <c r="B448" s="209" t="s">
        <v>2389</v>
      </c>
      <c r="C448" s="209" t="s">
        <v>2397</v>
      </c>
      <c r="D448" s="209" t="s">
        <v>450</v>
      </c>
      <c r="E448" s="209" t="s">
        <v>1914</v>
      </c>
      <c r="F448" s="208">
        <v>8.9999999999999993E-3</v>
      </c>
      <c r="G448" s="208">
        <v>3.02</v>
      </c>
      <c r="H448" s="209" t="s">
        <v>1916</v>
      </c>
      <c r="I448" s="209" t="s">
        <v>182</v>
      </c>
      <c r="J448" s="209" t="s">
        <v>1924</v>
      </c>
      <c r="K448" s="212" t="s">
        <v>2798</v>
      </c>
      <c r="L448" s="209"/>
      <c r="M448" s="218" t="s">
        <v>147</v>
      </c>
      <c r="N448" s="218" t="s">
        <v>147</v>
      </c>
      <c r="O448" s="218" t="s">
        <v>147</v>
      </c>
      <c r="P448" s="218" t="s">
        <v>147</v>
      </c>
      <c r="Q448" s="218" t="s">
        <v>147</v>
      </c>
      <c r="R448" s="218" t="s">
        <v>147</v>
      </c>
      <c r="S448" s="218" t="s">
        <v>147</v>
      </c>
      <c r="T448" s="218" t="s">
        <v>147</v>
      </c>
      <c r="U448" s="280" t="s">
        <v>1911</v>
      </c>
    </row>
    <row r="449" spans="1:21" x14ac:dyDescent="0.25">
      <c r="A449" s="211" t="s">
        <v>1361</v>
      </c>
      <c r="B449" s="209" t="s">
        <v>2389</v>
      </c>
      <c r="C449" s="209" t="s">
        <v>2398</v>
      </c>
      <c r="D449" s="209" t="s">
        <v>450</v>
      </c>
      <c r="E449" s="209" t="s">
        <v>1914</v>
      </c>
      <c r="F449" s="208">
        <v>8.9999999999999993E-3</v>
      </c>
      <c r="G449" s="208">
        <v>3.02</v>
      </c>
      <c r="H449" s="209" t="s">
        <v>1916</v>
      </c>
      <c r="I449" s="209" t="s">
        <v>182</v>
      </c>
      <c r="J449" s="209" t="s">
        <v>1924</v>
      </c>
      <c r="K449" s="212" t="s">
        <v>2798</v>
      </c>
      <c r="L449" s="209"/>
      <c r="M449" s="218" t="s">
        <v>147</v>
      </c>
      <c r="N449" s="218" t="s">
        <v>147</v>
      </c>
      <c r="O449" s="218" t="s">
        <v>147</v>
      </c>
      <c r="P449" s="218" t="s">
        <v>147</v>
      </c>
      <c r="Q449" s="218" t="s">
        <v>147</v>
      </c>
      <c r="R449" s="218" t="s">
        <v>147</v>
      </c>
      <c r="S449" s="218" t="s">
        <v>147</v>
      </c>
      <c r="T449" s="218" t="s">
        <v>147</v>
      </c>
      <c r="U449" s="280" t="s">
        <v>1911</v>
      </c>
    </row>
    <row r="450" spans="1:21" x14ac:dyDescent="0.25">
      <c r="A450" s="211" t="s">
        <v>2401</v>
      </c>
      <c r="B450" s="209" t="s">
        <v>2389</v>
      </c>
      <c r="C450" s="209" t="s">
        <v>2402</v>
      </c>
      <c r="D450" s="209" t="s">
        <v>450</v>
      </c>
      <c r="E450" s="209" t="s">
        <v>1914</v>
      </c>
      <c r="F450" s="208">
        <v>8.9999999999999993E-3</v>
      </c>
      <c r="G450" s="208">
        <v>3.02</v>
      </c>
      <c r="H450" s="209" t="s">
        <v>1916</v>
      </c>
      <c r="I450" s="209" t="s">
        <v>182</v>
      </c>
      <c r="J450" s="209" t="s">
        <v>1924</v>
      </c>
      <c r="K450" s="212" t="s">
        <v>2798</v>
      </c>
      <c r="L450" s="209"/>
      <c r="M450" s="218" t="s">
        <v>147</v>
      </c>
      <c r="N450" s="218" t="s">
        <v>147</v>
      </c>
      <c r="O450" s="218" t="s">
        <v>147</v>
      </c>
      <c r="P450" s="218" t="s">
        <v>147</v>
      </c>
      <c r="Q450" s="218" t="s">
        <v>147</v>
      </c>
      <c r="R450" s="218" t="s">
        <v>147</v>
      </c>
      <c r="S450" s="218" t="s">
        <v>147</v>
      </c>
      <c r="T450" s="218" t="s">
        <v>147</v>
      </c>
      <c r="U450" s="280" t="s">
        <v>1911</v>
      </c>
    </row>
    <row r="451" spans="1:21" x14ac:dyDescent="0.25">
      <c r="A451" s="211" t="s">
        <v>2403</v>
      </c>
      <c r="B451" s="209" t="s">
        <v>2389</v>
      </c>
      <c r="C451" s="209" t="s">
        <v>2404</v>
      </c>
      <c r="D451" s="209" t="s">
        <v>450</v>
      </c>
      <c r="E451" s="209" t="s">
        <v>1914</v>
      </c>
      <c r="F451" s="208">
        <v>8.9999999999999993E-3</v>
      </c>
      <c r="G451" s="208">
        <v>3.02</v>
      </c>
      <c r="H451" s="209" t="s">
        <v>1916</v>
      </c>
      <c r="I451" s="209" t="s">
        <v>182</v>
      </c>
      <c r="J451" s="209" t="s">
        <v>1924</v>
      </c>
      <c r="K451" s="212" t="s">
        <v>2798</v>
      </c>
      <c r="L451" s="209"/>
      <c r="M451" s="218" t="s">
        <v>147</v>
      </c>
      <c r="N451" s="218" t="s">
        <v>147</v>
      </c>
      <c r="O451" s="218" t="s">
        <v>147</v>
      </c>
      <c r="P451" s="218" t="s">
        <v>147</v>
      </c>
      <c r="Q451" s="218" t="s">
        <v>147</v>
      </c>
      <c r="R451" s="218" t="s">
        <v>147</v>
      </c>
      <c r="S451" s="218" t="s">
        <v>147</v>
      </c>
      <c r="T451" s="218" t="s">
        <v>147</v>
      </c>
      <c r="U451" s="280" t="s">
        <v>1911</v>
      </c>
    </row>
    <row r="452" spans="1:21" x14ac:dyDescent="0.25">
      <c r="A452" s="209" t="s">
        <v>1359</v>
      </c>
      <c r="B452" s="209" t="s">
        <v>2389</v>
      </c>
      <c r="C452" s="209" t="s">
        <v>2390</v>
      </c>
      <c r="D452" s="209" t="s">
        <v>450</v>
      </c>
      <c r="E452" s="209" t="s">
        <v>1914</v>
      </c>
      <c r="F452" s="208">
        <v>8.9999999999999993E-3</v>
      </c>
      <c r="G452" s="208">
        <v>3.02</v>
      </c>
      <c r="H452" s="209" t="s">
        <v>1916</v>
      </c>
      <c r="I452" s="209" t="s">
        <v>182</v>
      </c>
      <c r="J452" s="209" t="s">
        <v>1924</v>
      </c>
      <c r="K452" s="212" t="s">
        <v>2798</v>
      </c>
      <c r="L452" s="209"/>
      <c r="M452" s="218" t="s">
        <v>147</v>
      </c>
      <c r="N452" s="218" t="s">
        <v>147</v>
      </c>
      <c r="O452" s="218" t="s">
        <v>147</v>
      </c>
      <c r="P452" s="218" t="s">
        <v>147</v>
      </c>
      <c r="Q452" s="218" t="s">
        <v>147</v>
      </c>
      <c r="R452" s="218" t="s">
        <v>147</v>
      </c>
      <c r="S452" s="218" t="s">
        <v>147</v>
      </c>
      <c r="T452" s="218" t="s">
        <v>147</v>
      </c>
      <c r="U452" s="280" t="s">
        <v>1911</v>
      </c>
    </row>
    <row r="453" spans="1:21" x14ac:dyDescent="0.25">
      <c r="A453" s="211" t="s">
        <v>2391</v>
      </c>
      <c r="B453" s="209" t="s">
        <v>2389</v>
      </c>
      <c r="C453" s="209" t="s">
        <v>2392</v>
      </c>
      <c r="D453" s="209" t="s">
        <v>450</v>
      </c>
      <c r="E453" s="209" t="s">
        <v>1914</v>
      </c>
      <c r="F453" s="208">
        <v>8.9999999999999993E-3</v>
      </c>
      <c r="G453" s="208">
        <v>3.02</v>
      </c>
      <c r="H453" s="209" t="s">
        <v>1916</v>
      </c>
      <c r="I453" s="209" t="s">
        <v>182</v>
      </c>
      <c r="J453" s="209" t="s">
        <v>1924</v>
      </c>
      <c r="K453" s="212" t="s">
        <v>2798</v>
      </c>
      <c r="L453" s="209"/>
      <c r="M453" s="218" t="s">
        <v>147</v>
      </c>
      <c r="N453" s="218" t="s">
        <v>147</v>
      </c>
      <c r="O453" s="218" t="s">
        <v>147</v>
      </c>
      <c r="P453" s="218" t="s">
        <v>147</v>
      </c>
      <c r="Q453" s="218" t="s">
        <v>147</v>
      </c>
      <c r="R453" s="218" t="s">
        <v>147</v>
      </c>
      <c r="S453" s="218" t="s">
        <v>147</v>
      </c>
      <c r="T453" s="218" t="s">
        <v>147</v>
      </c>
      <c r="U453" s="280" t="s">
        <v>1911</v>
      </c>
    </row>
    <row r="454" spans="1:21" x14ac:dyDescent="0.25">
      <c r="A454" s="211" t="s">
        <v>2393</v>
      </c>
      <c r="B454" s="209" t="s">
        <v>2389</v>
      </c>
      <c r="C454" s="209" t="s">
        <v>2394</v>
      </c>
      <c r="D454" s="209" t="s">
        <v>450</v>
      </c>
      <c r="E454" s="209" t="s">
        <v>1914</v>
      </c>
      <c r="F454" s="208">
        <v>8.9999999999999993E-3</v>
      </c>
      <c r="G454" s="208">
        <v>3.02</v>
      </c>
      <c r="H454" s="209" t="s">
        <v>1916</v>
      </c>
      <c r="I454" s="209" t="s">
        <v>182</v>
      </c>
      <c r="J454" s="209" t="s">
        <v>1924</v>
      </c>
      <c r="K454" s="212" t="s">
        <v>2798</v>
      </c>
      <c r="L454" s="209"/>
      <c r="M454" s="218" t="s">
        <v>147</v>
      </c>
      <c r="N454" s="218" t="s">
        <v>147</v>
      </c>
      <c r="O454" s="218" t="s">
        <v>147</v>
      </c>
      <c r="P454" s="218" t="s">
        <v>147</v>
      </c>
      <c r="Q454" s="218" t="s">
        <v>147</v>
      </c>
      <c r="R454" s="218" t="s">
        <v>147</v>
      </c>
      <c r="S454" s="218" t="s">
        <v>147</v>
      </c>
      <c r="T454" s="218" t="s">
        <v>147</v>
      </c>
      <c r="U454" s="280" t="s">
        <v>1911</v>
      </c>
    </row>
    <row r="455" spans="1:21" x14ac:dyDescent="0.25">
      <c r="A455" s="211" t="s">
        <v>2362</v>
      </c>
      <c r="B455" s="209" t="s">
        <v>2335</v>
      </c>
      <c r="C455" s="209" t="s">
        <v>2363</v>
      </c>
      <c r="D455" s="209" t="s">
        <v>450</v>
      </c>
      <c r="E455" s="209" t="s">
        <v>1914</v>
      </c>
      <c r="F455" s="208">
        <v>1.6951367521367521E-2</v>
      </c>
      <c r="G455" s="208">
        <v>3.0200282051282055</v>
      </c>
      <c r="H455" s="209" t="s">
        <v>1916</v>
      </c>
      <c r="I455" s="209" t="s">
        <v>182</v>
      </c>
      <c r="J455" s="209" t="s">
        <v>1924</v>
      </c>
      <c r="K455" s="212" t="s">
        <v>2798</v>
      </c>
      <c r="L455" s="209"/>
      <c r="M455" s="208">
        <v>0</v>
      </c>
      <c r="N455" s="208">
        <v>1.3149999999999999</v>
      </c>
      <c r="O455" s="208">
        <v>0</v>
      </c>
      <c r="P455" s="208">
        <v>1.5329999999999999</v>
      </c>
      <c r="Q455" s="208">
        <v>0</v>
      </c>
      <c r="R455" s="208">
        <v>0.65231572080887157</v>
      </c>
      <c r="S455" s="208">
        <v>0</v>
      </c>
      <c r="T455" s="208">
        <v>0.76045627376425862</v>
      </c>
      <c r="U455" s="280" t="s">
        <v>2337</v>
      </c>
    </row>
    <row r="456" spans="1:21" x14ac:dyDescent="0.25">
      <c r="A456" s="211" t="s">
        <v>2370</v>
      </c>
      <c r="B456" s="209" t="s">
        <v>2335</v>
      </c>
      <c r="C456" s="209" t="s">
        <v>2371</v>
      </c>
      <c r="D456" s="209" t="s">
        <v>450</v>
      </c>
      <c r="E456" s="209" t="s">
        <v>1914</v>
      </c>
      <c r="F456" s="208">
        <v>1.6951367521367521E-2</v>
      </c>
      <c r="G456" s="208">
        <v>3.0200282051282055</v>
      </c>
      <c r="H456" s="209" t="s">
        <v>1916</v>
      </c>
      <c r="I456" s="209" t="s">
        <v>182</v>
      </c>
      <c r="J456" s="209" t="s">
        <v>1924</v>
      </c>
      <c r="K456" s="212" t="s">
        <v>2798</v>
      </c>
      <c r="L456" s="209"/>
      <c r="M456" s="208">
        <v>0</v>
      </c>
      <c r="N456" s="208">
        <v>1.3149999999999999</v>
      </c>
      <c r="O456" s="208">
        <v>0</v>
      </c>
      <c r="P456" s="208">
        <v>1.5329999999999999</v>
      </c>
      <c r="Q456" s="208">
        <v>0</v>
      </c>
      <c r="R456" s="208">
        <v>0.65231572080887157</v>
      </c>
      <c r="S456" s="208">
        <v>0</v>
      </c>
      <c r="T456" s="208">
        <v>0.76045627376425862</v>
      </c>
      <c r="U456" s="280" t="s">
        <v>2337</v>
      </c>
    </row>
    <row r="457" spans="1:21" x14ac:dyDescent="0.25">
      <c r="A457" s="211" t="s">
        <v>2372</v>
      </c>
      <c r="B457" s="209" t="s">
        <v>2335</v>
      </c>
      <c r="C457" s="209" t="s">
        <v>1911</v>
      </c>
      <c r="D457" s="209" t="s">
        <v>450</v>
      </c>
      <c r="E457" s="209" t="s">
        <v>1914</v>
      </c>
      <c r="F457" s="208">
        <v>1.6951367521367521E-2</v>
      </c>
      <c r="G457" s="208">
        <v>3.0200282051282055</v>
      </c>
      <c r="H457" s="209" t="s">
        <v>1916</v>
      </c>
      <c r="I457" s="209" t="s">
        <v>182</v>
      </c>
      <c r="J457" s="209" t="s">
        <v>1924</v>
      </c>
      <c r="K457" s="212" t="s">
        <v>2798</v>
      </c>
      <c r="L457" s="209"/>
      <c r="M457" s="208">
        <v>0</v>
      </c>
      <c r="N457" s="208">
        <v>1.3149999999999999</v>
      </c>
      <c r="O457" s="208">
        <v>0</v>
      </c>
      <c r="P457" s="208">
        <v>1.5329999999999999</v>
      </c>
      <c r="Q457" s="208">
        <v>0</v>
      </c>
      <c r="R457" s="208">
        <v>0.65231572080887157</v>
      </c>
      <c r="S457" s="208">
        <v>0</v>
      </c>
      <c r="T457" s="208">
        <v>0.76045627376425862</v>
      </c>
      <c r="U457" s="280" t="s">
        <v>2337</v>
      </c>
    </row>
    <row r="458" spans="1:21" x14ac:dyDescent="0.25">
      <c r="A458" s="211" t="s">
        <v>2373</v>
      </c>
      <c r="B458" s="209" t="s">
        <v>2335</v>
      </c>
      <c r="C458" s="209" t="s">
        <v>2374</v>
      </c>
      <c r="D458" s="209" t="s">
        <v>450</v>
      </c>
      <c r="E458" s="209" t="s">
        <v>1914</v>
      </c>
      <c r="F458" s="208">
        <v>1.6951367521367521E-2</v>
      </c>
      <c r="G458" s="208">
        <v>3.0200282051282055</v>
      </c>
      <c r="H458" s="209" t="s">
        <v>1916</v>
      </c>
      <c r="I458" s="209" t="s">
        <v>182</v>
      </c>
      <c r="J458" s="209" t="s">
        <v>1924</v>
      </c>
      <c r="K458" s="212" t="s">
        <v>2798</v>
      </c>
      <c r="L458" s="209"/>
      <c r="M458" s="208">
        <v>0</v>
      </c>
      <c r="N458" s="208">
        <v>1.3149999999999999</v>
      </c>
      <c r="O458" s="208">
        <v>0</v>
      </c>
      <c r="P458" s="208">
        <v>1.5329999999999999</v>
      </c>
      <c r="Q458" s="208">
        <v>0</v>
      </c>
      <c r="R458" s="208">
        <v>0.65231572080887157</v>
      </c>
      <c r="S458" s="208">
        <v>0</v>
      </c>
      <c r="T458" s="208">
        <v>0.76045627376425862</v>
      </c>
      <c r="U458" s="280" t="s">
        <v>2337</v>
      </c>
    </row>
    <row r="459" spans="1:21" x14ac:dyDescent="0.25">
      <c r="A459" s="211" t="s">
        <v>2375</v>
      </c>
      <c r="B459" s="209" t="s">
        <v>2335</v>
      </c>
      <c r="C459" s="209" t="s">
        <v>2376</v>
      </c>
      <c r="D459" s="209" t="s">
        <v>450</v>
      </c>
      <c r="E459" s="209" t="s">
        <v>1914</v>
      </c>
      <c r="F459" s="208">
        <v>1.6951367521367521E-2</v>
      </c>
      <c r="G459" s="208">
        <v>3.0200282051282055</v>
      </c>
      <c r="H459" s="209" t="s">
        <v>1916</v>
      </c>
      <c r="I459" s="209" t="s">
        <v>182</v>
      </c>
      <c r="J459" s="209" t="s">
        <v>1924</v>
      </c>
      <c r="K459" s="212" t="s">
        <v>2798</v>
      </c>
      <c r="L459" s="209"/>
      <c r="M459" s="208">
        <v>0</v>
      </c>
      <c r="N459" s="208">
        <v>1.3149999999999999</v>
      </c>
      <c r="O459" s="208">
        <v>0</v>
      </c>
      <c r="P459" s="208">
        <v>1.5329999999999999</v>
      </c>
      <c r="Q459" s="208">
        <v>0</v>
      </c>
      <c r="R459" s="208">
        <v>0.65231572080887157</v>
      </c>
      <c r="S459" s="208">
        <v>0</v>
      </c>
      <c r="T459" s="208">
        <v>0.76045627376425862</v>
      </c>
      <c r="U459" s="280" t="s">
        <v>2337</v>
      </c>
    </row>
    <row r="460" spans="1:21" x14ac:dyDescent="0.25">
      <c r="A460" s="211" t="s">
        <v>1518</v>
      </c>
      <c r="B460" s="209" t="s">
        <v>2475</v>
      </c>
      <c r="C460" s="209" t="s">
        <v>2480</v>
      </c>
      <c r="D460" s="209" t="s">
        <v>450</v>
      </c>
      <c r="E460" s="209" t="s">
        <v>1914</v>
      </c>
      <c r="F460" s="208">
        <v>1.7963888888888897E-2</v>
      </c>
      <c r="G460" s="208">
        <v>2.990647222222222</v>
      </c>
      <c r="H460" s="209" t="s">
        <v>1916</v>
      </c>
      <c r="I460" s="209" t="s">
        <v>182</v>
      </c>
      <c r="J460" s="209" t="s">
        <v>1924</v>
      </c>
      <c r="K460" s="212" t="s">
        <v>2798</v>
      </c>
      <c r="L460" s="209"/>
      <c r="M460" s="208">
        <v>0</v>
      </c>
      <c r="N460" s="208">
        <v>1.139</v>
      </c>
      <c r="O460" s="208">
        <v>0</v>
      </c>
      <c r="P460" s="208">
        <v>1.3080000000000001</v>
      </c>
      <c r="Q460" s="208">
        <v>0</v>
      </c>
      <c r="R460" s="208">
        <v>0.76452599388379205</v>
      </c>
      <c r="S460" s="208">
        <v>0</v>
      </c>
      <c r="T460" s="208">
        <v>0.87796312554872691</v>
      </c>
      <c r="U460" s="280" t="s">
        <v>2477</v>
      </c>
    </row>
    <row r="461" spans="1:21" x14ac:dyDescent="0.25">
      <c r="A461" s="211" t="s">
        <v>2261</v>
      </c>
      <c r="B461" s="209" t="s">
        <v>2256</v>
      </c>
      <c r="C461" s="209" t="s">
        <v>2262</v>
      </c>
      <c r="D461" s="209" t="s">
        <v>450</v>
      </c>
      <c r="E461" s="209" t="s">
        <v>1914</v>
      </c>
      <c r="F461" s="208">
        <v>2.8928999999999993E-2</v>
      </c>
      <c r="G461" s="208">
        <v>2.9724499999999998</v>
      </c>
      <c r="H461" s="209" t="s">
        <v>1916</v>
      </c>
      <c r="I461" s="209" t="s">
        <v>182</v>
      </c>
      <c r="J461" s="209" t="s">
        <v>1924</v>
      </c>
      <c r="K461" s="212" t="s">
        <v>2798</v>
      </c>
      <c r="L461" s="209"/>
      <c r="M461" s="208">
        <v>0</v>
      </c>
      <c r="N461" s="208">
        <v>1.21</v>
      </c>
      <c r="O461" s="208">
        <v>0</v>
      </c>
      <c r="P461" s="208">
        <v>1.2949999999999999</v>
      </c>
      <c r="Q461" s="208">
        <v>0</v>
      </c>
      <c r="R461" s="208">
        <v>0.77220077220077221</v>
      </c>
      <c r="S461" s="208">
        <v>0</v>
      </c>
      <c r="T461" s="208">
        <v>0.82644628099173556</v>
      </c>
      <c r="U461" s="280" t="s">
        <v>2258</v>
      </c>
    </row>
    <row r="462" spans="1:21" x14ac:dyDescent="0.25">
      <c r="A462" s="211" t="s">
        <v>2351</v>
      </c>
      <c r="B462" s="209" t="s">
        <v>2335</v>
      </c>
      <c r="C462" s="209" t="s">
        <v>2352</v>
      </c>
      <c r="D462" s="209" t="s">
        <v>450</v>
      </c>
      <c r="E462" s="209" t="s">
        <v>1914</v>
      </c>
      <c r="F462" s="208">
        <v>1.6951367521367521E-2</v>
      </c>
      <c r="G462" s="208">
        <v>3.0200282051282055</v>
      </c>
      <c r="H462" s="209" t="s">
        <v>1916</v>
      </c>
      <c r="I462" s="209" t="s">
        <v>182</v>
      </c>
      <c r="J462" s="209" t="s">
        <v>1924</v>
      </c>
      <c r="K462" s="212" t="s">
        <v>2798</v>
      </c>
      <c r="L462" s="209"/>
      <c r="M462" s="208">
        <v>0</v>
      </c>
      <c r="N462" s="208">
        <v>1.3149999999999999</v>
      </c>
      <c r="O462" s="208">
        <v>0</v>
      </c>
      <c r="P462" s="208">
        <v>1.5329999999999999</v>
      </c>
      <c r="Q462" s="208">
        <v>0</v>
      </c>
      <c r="R462" s="208">
        <v>0.65231572080887157</v>
      </c>
      <c r="S462" s="208">
        <v>0</v>
      </c>
      <c r="T462" s="208">
        <v>0.76045627376425862</v>
      </c>
      <c r="U462" s="280" t="s">
        <v>2337</v>
      </c>
    </row>
    <row r="463" spans="1:21" x14ac:dyDescent="0.25">
      <c r="A463" s="209" t="s">
        <v>1487</v>
      </c>
      <c r="B463" s="209" t="s">
        <v>2475</v>
      </c>
      <c r="C463" s="209" t="s">
        <v>2476</v>
      </c>
      <c r="D463" s="209" t="s">
        <v>450</v>
      </c>
      <c r="E463" s="209" t="s">
        <v>1914</v>
      </c>
      <c r="F463" s="208">
        <v>1.7963888888888897E-2</v>
      </c>
      <c r="G463" s="208">
        <v>2.990647222222222</v>
      </c>
      <c r="H463" s="209" t="s">
        <v>1916</v>
      </c>
      <c r="I463" s="209" t="s">
        <v>182</v>
      </c>
      <c r="J463" s="209" t="s">
        <v>1924</v>
      </c>
      <c r="K463" s="212" t="s">
        <v>2798</v>
      </c>
      <c r="L463" s="209"/>
      <c r="M463" s="208">
        <v>0</v>
      </c>
      <c r="N463" s="208">
        <v>1.139</v>
      </c>
      <c r="O463" s="208">
        <v>0</v>
      </c>
      <c r="P463" s="208">
        <v>1.3080000000000001</v>
      </c>
      <c r="Q463" s="208">
        <v>0</v>
      </c>
      <c r="R463" s="208">
        <v>0.76452599388379205</v>
      </c>
      <c r="S463" s="208">
        <v>0</v>
      </c>
      <c r="T463" s="208">
        <v>0.87796312554872691</v>
      </c>
      <c r="U463" s="280" t="s">
        <v>2477</v>
      </c>
    </row>
    <row r="464" spans="1:21" x14ac:dyDescent="0.25">
      <c r="A464" s="211" t="s">
        <v>2481</v>
      </c>
      <c r="B464" s="209" t="s">
        <v>2475</v>
      </c>
      <c r="C464" s="209" t="s">
        <v>2476</v>
      </c>
      <c r="D464" s="209" t="s">
        <v>450</v>
      </c>
      <c r="E464" s="209" t="s">
        <v>1914</v>
      </c>
      <c r="F464" s="208">
        <v>1.7963888888888897E-2</v>
      </c>
      <c r="G464" s="208">
        <v>2.990647222222222</v>
      </c>
      <c r="H464" s="209" t="s">
        <v>1916</v>
      </c>
      <c r="I464" s="209" t="s">
        <v>182</v>
      </c>
      <c r="J464" s="209" t="s">
        <v>1924</v>
      </c>
      <c r="K464" s="212" t="s">
        <v>2798</v>
      </c>
      <c r="L464" s="209"/>
      <c r="M464" s="208">
        <v>0</v>
      </c>
      <c r="N464" s="208">
        <v>1.139</v>
      </c>
      <c r="O464" s="208">
        <v>0</v>
      </c>
      <c r="P464" s="208">
        <v>1.3080000000000001</v>
      </c>
      <c r="Q464" s="208">
        <v>0</v>
      </c>
      <c r="R464" s="208">
        <v>0.76452599388379205</v>
      </c>
      <c r="S464" s="208">
        <v>0</v>
      </c>
      <c r="T464" s="208">
        <v>0.87796312554872691</v>
      </c>
      <c r="U464" s="280" t="s">
        <v>2477</v>
      </c>
    </row>
    <row r="465" spans="1:21" x14ac:dyDescent="0.25">
      <c r="A465" s="211" t="s">
        <v>1490</v>
      </c>
      <c r="B465" s="209" t="s">
        <v>2475</v>
      </c>
      <c r="C465" s="209" t="s">
        <v>2482</v>
      </c>
      <c r="D465" s="209" t="s">
        <v>450</v>
      </c>
      <c r="E465" s="209" t="s">
        <v>1914</v>
      </c>
      <c r="F465" s="208">
        <v>1.7963888888888897E-2</v>
      </c>
      <c r="G465" s="208">
        <v>2.990647222222222</v>
      </c>
      <c r="H465" s="209" t="s">
        <v>1916</v>
      </c>
      <c r="I465" s="209" t="s">
        <v>182</v>
      </c>
      <c r="J465" s="209" t="s">
        <v>1924</v>
      </c>
      <c r="K465" s="212" t="s">
        <v>2798</v>
      </c>
      <c r="L465" s="209"/>
      <c r="M465" s="208">
        <v>0</v>
      </c>
      <c r="N465" s="208">
        <v>1.139</v>
      </c>
      <c r="O465" s="208">
        <v>0</v>
      </c>
      <c r="P465" s="208">
        <v>1.3080000000000001</v>
      </c>
      <c r="Q465" s="208">
        <v>0</v>
      </c>
      <c r="R465" s="208">
        <v>0.76452599388379205</v>
      </c>
      <c r="S465" s="208">
        <v>0</v>
      </c>
      <c r="T465" s="208">
        <v>0.87796312554872691</v>
      </c>
      <c r="U465" s="280" t="s">
        <v>2477</v>
      </c>
    </row>
    <row r="466" spans="1:21" x14ac:dyDescent="0.25">
      <c r="A466" s="211" t="s">
        <v>1496</v>
      </c>
      <c r="B466" s="209" t="s">
        <v>2475</v>
      </c>
      <c r="C466" s="209" t="s">
        <v>2489</v>
      </c>
      <c r="D466" s="209" t="s">
        <v>450</v>
      </c>
      <c r="E466" s="209" t="s">
        <v>1914</v>
      </c>
      <c r="F466" s="208">
        <v>1.7963888888888897E-2</v>
      </c>
      <c r="G466" s="208">
        <v>2.990647222222222</v>
      </c>
      <c r="H466" s="209" t="s">
        <v>1916</v>
      </c>
      <c r="I466" s="209" t="s">
        <v>182</v>
      </c>
      <c r="J466" s="209" t="s">
        <v>1924</v>
      </c>
      <c r="K466" s="212" t="s">
        <v>2798</v>
      </c>
      <c r="L466" s="209"/>
      <c r="M466" s="208">
        <v>0</v>
      </c>
      <c r="N466" s="208">
        <v>1.139</v>
      </c>
      <c r="O466" s="208">
        <v>0</v>
      </c>
      <c r="P466" s="208">
        <v>1.3080000000000001</v>
      </c>
      <c r="Q466" s="208">
        <v>0</v>
      </c>
      <c r="R466" s="208">
        <v>0.76452599388379205</v>
      </c>
      <c r="S466" s="208">
        <v>0</v>
      </c>
      <c r="T466" s="208">
        <v>0.87796312554872691</v>
      </c>
      <c r="U466" s="280" t="s">
        <v>2477</v>
      </c>
    </row>
    <row r="467" spans="1:21" x14ac:dyDescent="0.25">
      <c r="A467" s="211" t="s">
        <v>1504</v>
      </c>
      <c r="B467" s="209" t="s">
        <v>2475</v>
      </c>
      <c r="C467" s="209" t="s">
        <v>2483</v>
      </c>
      <c r="D467" s="209" t="s">
        <v>450</v>
      </c>
      <c r="E467" s="209" t="s">
        <v>1914</v>
      </c>
      <c r="F467" s="208">
        <v>1.7963888888888897E-2</v>
      </c>
      <c r="G467" s="208">
        <v>2.990647222222222</v>
      </c>
      <c r="H467" s="209" t="s">
        <v>1916</v>
      </c>
      <c r="I467" s="209" t="s">
        <v>182</v>
      </c>
      <c r="J467" s="209" t="s">
        <v>1924</v>
      </c>
      <c r="K467" s="212" t="s">
        <v>2798</v>
      </c>
      <c r="L467" s="209"/>
      <c r="M467" s="208">
        <v>0</v>
      </c>
      <c r="N467" s="208">
        <v>1.139</v>
      </c>
      <c r="O467" s="208">
        <v>0</v>
      </c>
      <c r="P467" s="208">
        <v>1.3080000000000001</v>
      </c>
      <c r="Q467" s="208">
        <v>0</v>
      </c>
      <c r="R467" s="208">
        <v>0.76452599388379205</v>
      </c>
      <c r="S467" s="208">
        <v>0</v>
      </c>
      <c r="T467" s="208">
        <v>0.87796312554872691</v>
      </c>
      <c r="U467" s="280" t="s">
        <v>2477</v>
      </c>
    </row>
    <row r="468" spans="1:21" x14ac:dyDescent="0.25">
      <c r="A468" s="211" t="s">
        <v>2487</v>
      </c>
      <c r="B468" s="209" t="s">
        <v>2475</v>
      </c>
      <c r="C468" s="209" t="s">
        <v>2488</v>
      </c>
      <c r="D468" s="209" t="s">
        <v>450</v>
      </c>
      <c r="E468" s="209" t="s">
        <v>1914</v>
      </c>
      <c r="F468" s="208">
        <v>1.7963888888888897E-2</v>
      </c>
      <c r="G468" s="208">
        <v>2.990647222222222</v>
      </c>
      <c r="H468" s="209" t="s">
        <v>1916</v>
      </c>
      <c r="I468" s="209" t="s">
        <v>182</v>
      </c>
      <c r="J468" s="209" t="s">
        <v>1924</v>
      </c>
      <c r="K468" s="212" t="s">
        <v>2798</v>
      </c>
      <c r="L468" s="209"/>
      <c r="M468" s="208">
        <v>0</v>
      </c>
      <c r="N468" s="208">
        <v>1.139</v>
      </c>
      <c r="O468" s="208">
        <v>0</v>
      </c>
      <c r="P468" s="208">
        <v>1.3080000000000001</v>
      </c>
      <c r="Q468" s="208">
        <v>0</v>
      </c>
      <c r="R468" s="208">
        <v>0.76452599388379205</v>
      </c>
      <c r="S468" s="208">
        <v>0</v>
      </c>
      <c r="T468" s="208">
        <v>0.87796312554872691</v>
      </c>
      <c r="U468" s="280" t="s">
        <v>2477</v>
      </c>
    </row>
    <row r="469" spans="1:21" x14ac:dyDescent="0.25">
      <c r="A469" s="211" t="s">
        <v>1492</v>
      </c>
      <c r="B469" s="209" t="s">
        <v>2475</v>
      </c>
      <c r="C469" s="209" t="s">
        <v>2484</v>
      </c>
      <c r="D469" s="209" t="s">
        <v>450</v>
      </c>
      <c r="E469" s="209" t="s">
        <v>1914</v>
      </c>
      <c r="F469" s="208">
        <v>1.7963888888888897E-2</v>
      </c>
      <c r="G469" s="208">
        <v>2.990647222222222</v>
      </c>
      <c r="H469" s="209" t="s">
        <v>1916</v>
      </c>
      <c r="I469" s="209" t="s">
        <v>182</v>
      </c>
      <c r="J469" s="209" t="s">
        <v>1924</v>
      </c>
      <c r="K469" s="212" t="s">
        <v>2798</v>
      </c>
      <c r="L469" s="209"/>
      <c r="M469" s="208">
        <v>0</v>
      </c>
      <c r="N469" s="208">
        <v>1.139</v>
      </c>
      <c r="O469" s="208">
        <v>0</v>
      </c>
      <c r="P469" s="208">
        <v>1.3080000000000001</v>
      </c>
      <c r="Q469" s="208">
        <v>0</v>
      </c>
      <c r="R469" s="208">
        <v>0.76452599388379205</v>
      </c>
      <c r="S469" s="208">
        <v>0</v>
      </c>
      <c r="T469" s="208">
        <v>0.87796312554872691</v>
      </c>
      <c r="U469" s="280" t="s">
        <v>2477</v>
      </c>
    </row>
    <row r="470" spans="1:21" x14ac:dyDescent="0.25">
      <c r="A470" s="211" t="s">
        <v>1506</v>
      </c>
      <c r="B470" s="209" t="s">
        <v>2475</v>
      </c>
      <c r="C470" s="209" t="s">
        <v>2485</v>
      </c>
      <c r="D470" s="209" t="s">
        <v>450</v>
      </c>
      <c r="E470" s="209" t="s">
        <v>1914</v>
      </c>
      <c r="F470" s="208">
        <v>1.7963888888888897E-2</v>
      </c>
      <c r="G470" s="208">
        <v>2.990647222222222</v>
      </c>
      <c r="H470" s="209" t="s">
        <v>1916</v>
      </c>
      <c r="I470" s="209" t="s">
        <v>182</v>
      </c>
      <c r="J470" s="209" t="s">
        <v>1924</v>
      </c>
      <c r="K470" s="212" t="s">
        <v>2798</v>
      </c>
      <c r="L470" s="209"/>
      <c r="M470" s="208">
        <v>0</v>
      </c>
      <c r="N470" s="208">
        <v>1.139</v>
      </c>
      <c r="O470" s="208">
        <v>0</v>
      </c>
      <c r="P470" s="208">
        <v>1.3080000000000001</v>
      </c>
      <c r="Q470" s="208">
        <v>0</v>
      </c>
      <c r="R470" s="208">
        <v>0.76452599388379205</v>
      </c>
      <c r="S470" s="208">
        <v>0</v>
      </c>
      <c r="T470" s="208">
        <v>0.87796312554872691</v>
      </c>
      <c r="U470" s="280" t="s">
        <v>2477</v>
      </c>
    </row>
    <row r="471" spans="1:21" x14ac:dyDescent="0.25">
      <c r="A471" s="211" t="s">
        <v>1508</v>
      </c>
      <c r="B471" s="209" t="s">
        <v>2475</v>
      </c>
      <c r="C471" s="209" t="s">
        <v>2486</v>
      </c>
      <c r="D471" s="209" t="s">
        <v>450</v>
      </c>
      <c r="E471" s="209" t="s">
        <v>1914</v>
      </c>
      <c r="F471" s="208">
        <v>1.7963888888888897E-2</v>
      </c>
      <c r="G471" s="208">
        <v>2.990647222222222</v>
      </c>
      <c r="H471" s="209" t="s">
        <v>1916</v>
      </c>
      <c r="I471" s="209" t="s">
        <v>182</v>
      </c>
      <c r="J471" s="209" t="s">
        <v>1924</v>
      </c>
      <c r="K471" s="212" t="s">
        <v>2798</v>
      </c>
      <c r="L471" s="209"/>
      <c r="M471" s="208">
        <v>0</v>
      </c>
      <c r="N471" s="208">
        <v>1.139</v>
      </c>
      <c r="O471" s="208">
        <v>0</v>
      </c>
      <c r="P471" s="208">
        <v>1.3080000000000001</v>
      </c>
      <c r="Q471" s="208">
        <v>0</v>
      </c>
      <c r="R471" s="208">
        <v>0.76452599388379205</v>
      </c>
      <c r="S471" s="208">
        <v>0</v>
      </c>
      <c r="T471" s="208">
        <v>0.87796312554872691</v>
      </c>
      <c r="U471" s="280" t="s">
        <v>2477</v>
      </c>
    </row>
    <row r="472" spans="1:21" x14ac:dyDescent="0.25">
      <c r="A472" s="211" t="s">
        <v>2380</v>
      </c>
      <c r="B472" s="209" t="s">
        <v>2335</v>
      </c>
      <c r="C472" s="209" t="s">
        <v>2381</v>
      </c>
      <c r="D472" s="209" t="s">
        <v>450</v>
      </c>
      <c r="E472" s="209" t="s">
        <v>1914</v>
      </c>
      <c r="F472" s="208">
        <v>1.6951367521367521E-2</v>
      </c>
      <c r="G472" s="208">
        <v>3.0200282051282055</v>
      </c>
      <c r="H472" s="209" t="s">
        <v>1916</v>
      </c>
      <c r="I472" s="209" t="s">
        <v>182</v>
      </c>
      <c r="J472" s="209" t="s">
        <v>1924</v>
      </c>
      <c r="K472" s="212" t="s">
        <v>2798</v>
      </c>
      <c r="L472" s="209"/>
      <c r="M472" s="208">
        <v>0</v>
      </c>
      <c r="N472" s="208">
        <v>1.3149999999999999</v>
      </c>
      <c r="O472" s="208">
        <v>0</v>
      </c>
      <c r="P472" s="208">
        <v>1.5329999999999999</v>
      </c>
      <c r="Q472" s="208">
        <v>0</v>
      </c>
      <c r="R472" s="208">
        <v>0.65231572080887157</v>
      </c>
      <c r="S472" s="208">
        <v>0</v>
      </c>
      <c r="T472" s="208">
        <v>0.76045627376425862</v>
      </c>
      <c r="U472" s="280" t="s">
        <v>2337</v>
      </c>
    </row>
    <row r="473" spans="1:21" x14ac:dyDescent="0.25">
      <c r="A473" s="211" t="s">
        <v>1329</v>
      </c>
      <c r="B473" s="209" t="s">
        <v>2335</v>
      </c>
      <c r="C473" s="209" t="s">
        <v>2379</v>
      </c>
      <c r="D473" s="209" t="s">
        <v>450</v>
      </c>
      <c r="E473" s="209" t="s">
        <v>1914</v>
      </c>
      <c r="F473" s="208">
        <v>1.6951367521367521E-2</v>
      </c>
      <c r="G473" s="208">
        <v>3.0200282051282055</v>
      </c>
      <c r="H473" s="209" t="s">
        <v>1916</v>
      </c>
      <c r="I473" s="209" t="s">
        <v>182</v>
      </c>
      <c r="J473" s="209" t="s">
        <v>1924</v>
      </c>
      <c r="K473" s="212" t="s">
        <v>2798</v>
      </c>
      <c r="L473" s="209"/>
      <c r="M473" s="208">
        <v>0</v>
      </c>
      <c r="N473" s="208">
        <v>1.3149999999999999</v>
      </c>
      <c r="O473" s="208">
        <v>0</v>
      </c>
      <c r="P473" s="208">
        <v>1.5329999999999999</v>
      </c>
      <c r="Q473" s="208">
        <v>0</v>
      </c>
      <c r="R473" s="208">
        <v>0.65231572080887157</v>
      </c>
      <c r="S473" s="208">
        <v>0</v>
      </c>
      <c r="T473" s="208">
        <v>0.76045627376425862</v>
      </c>
      <c r="U473" s="280" t="s">
        <v>2337</v>
      </c>
    </row>
    <row r="474" spans="1:21" x14ac:dyDescent="0.25">
      <c r="A474" s="211" t="s">
        <v>2377</v>
      </c>
      <c r="B474" s="209" t="s">
        <v>2335</v>
      </c>
      <c r="C474" s="209" t="s">
        <v>2378</v>
      </c>
      <c r="D474" s="209" t="s">
        <v>450</v>
      </c>
      <c r="E474" s="209" t="s">
        <v>1914</v>
      </c>
      <c r="F474" s="208">
        <v>1.6951367521367521E-2</v>
      </c>
      <c r="G474" s="208">
        <v>3.0200282051282055</v>
      </c>
      <c r="H474" s="209" t="s">
        <v>1916</v>
      </c>
      <c r="I474" s="209" t="s">
        <v>182</v>
      </c>
      <c r="J474" s="209" t="s">
        <v>1924</v>
      </c>
      <c r="K474" s="212" t="s">
        <v>2798</v>
      </c>
      <c r="L474" s="209"/>
      <c r="M474" s="208">
        <v>0</v>
      </c>
      <c r="N474" s="208">
        <v>1.3149999999999999</v>
      </c>
      <c r="O474" s="208">
        <v>0</v>
      </c>
      <c r="P474" s="208">
        <v>1.5329999999999999</v>
      </c>
      <c r="Q474" s="208">
        <v>0</v>
      </c>
      <c r="R474" s="208">
        <v>0.65231572080887157</v>
      </c>
      <c r="S474" s="208">
        <v>0</v>
      </c>
      <c r="T474" s="208">
        <v>0.76045627376425862</v>
      </c>
      <c r="U474" s="280" t="s">
        <v>2337</v>
      </c>
    </row>
    <row r="475" spans="1:21" x14ac:dyDescent="0.25">
      <c r="A475" s="211" t="s">
        <v>2382</v>
      </c>
      <c r="B475" s="209" t="s">
        <v>2335</v>
      </c>
      <c r="C475" s="209" t="s">
        <v>2383</v>
      </c>
      <c r="D475" s="209" t="s">
        <v>450</v>
      </c>
      <c r="E475" s="209" t="s">
        <v>1914</v>
      </c>
      <c r="F475" s="208">
        <v>1.6951367521367521E-2</v>
      </c>
      <c r="G475" s="208">
        <v>3.0200282051282055</v>
      </c>
      <c r="H475" s="209" t="s">
        <v>1916</v>
      </c>
      <c r="I475" s="209" t="s">
        <v>182</v>
      </c>
      <c r="J475" s="209" t="s">
        <v>1924</v>
      </c>
      <c r="K475" s="212" t="s">
        <v>2798</v>
      </c>
      <c r="L475" s="209"/>
      <c r="M475" s="208">
        <v>0</v>
      </c>
      <c r="N475" s="208">
        <v>1.3149999999999999</v>
      </c>
      <c r="O475" s="208">
        <v>0</v>
      </c>
      <c r="P475" s="208">
        <v>1.5329999999999999</v>
      </c>
      <c r="Q475" s="208">
        <v>0</v>
      </c>
      <c r="R475" s="208">
        <v>0.65231572080887157</v>
      </c>
      <c r="S475" s="208">
        <v>0</v>
      </c>
      <c r="T475" s="208">
        <v>0.76045627376425862</v>
      </c>
      <c r="U475" s="280" t="s">
        <v>2337</v>
      </c>
    </row>
    <row r="476" spans="1:21" x14ac:dyDescent="0.25">
      <c r="A476" s="211" t="s">
        <v>1157</v>
      </c>
      <c r="B476" s="209" t="s">
        <v>2256</v>
      </c>
      <c r="C476" s="209" t="s">
        <v>2257</v>
      </c>
      <c r="D476" s="209" t="s">
        <v>450</v>
      </c>
      <c r="E476" s="209" t="s">
        <v>1914</v>
      </c>
      <c r="F476" s="208">
        <v>2.8928999999999993E-2</v>
      </c>
      <c r="G476" s="208">
        <v>2.9724499999999998</v>
      </c>
      <c r="H476" s="209" t="s">
        <v>1916</v>
      </c>
      <c r="I476" s="209" t="s">
        <v>182</v>
      </c>
      <c r="J476" s="209" t="s">
        <v>1924</v>
      </c>
      <c r="K476" s="212" t="s">
        <v>2798</v>
      </c>
      <c r="L476" s="209"/>
      <c r="M476" s="208">
        <v>0</v>
      </c>
      <c r="N476" s="208">
        <v>1.21</v>
      </c>
      <c r="O476" s="208">
        <v>0</v>
      </c>
      <c r="P476" s="208">
        <v>1.2949999999999999</v>
      </c>
      <c r="Q476" s="208">
        <v>0</v>
      </c>
      <c r="R476" s="208">
        <v>0.77220077220077221</v>
      </c>
      <c r="S476" s="208">
        <v>0</v>
      </c>
      <c r="T476" s="208">
        <v>0.82644628099173556</v>
      </c>
      <c r="U476" s="280" t="s">
        <v>2258</v>
      </c>
    </row>
    <row r="477" spans="1:21" x14ac:dyDescent="0.25">
      <c r="A477" s="211" t="s">
        <v>1159</v>
      </c>
      <c r="B477" s="209" t="s">
        <v>2256</v>
      </c>
      <c r="C477" s="209" t="s">
        <v>2259</v>
      </c>
      <c r="D477" s="209" t="s">
        <v>450</v>
      </c>
      <c r="E477" s="209" t="s">
        <v>1914</v>
      </c>
      <c r="F477" s="208">
        <v>2.8928999999999993E-2</v>
      </c>
      <c r="G477" s="208">
        <v>2.9724499999999998</v>
      </c>
      <c r="H477" s="209" t="s">
        <v>1916</v>
      </c>
      <c r="I477" s="209" t="s">
        <v>182</v>
      </c>
      <c r="J477" s="209" t="s">
        <v>1924</v>
      </c>
      <c r="K477" s="212" t="s">
        <v>2798</v>
      </c>
      <c r="L477" s="209"/>
      <c r="M477" s="208">
        <v>0</v>
      </c>
      <c r="N477" s="208">
        <v>1.21</v>
      </c>
      <c r="O477" s="208">
        <v>0</v>
      </c>
      <c r="P477" s="208">
        <v>1.2949999999999999</v>
      </c>
      <c r="Q477" s="208">
        <v>0</v>
      </c>
      <c r="R477" s="208">
        <v>0.77220077220077221</v>
      </c>
      <c r="S477" s="208">
        <v>0</v>
      </c>
      <c r="T477" s="208">
        <v>0.82644628099173556</v>
      </c>
      <c r="U477" s="280" t="s">
        <v>2258</v>
      </c>
    </row>
    <row r="478" spans="1:21" x14ac:dyDescent="0.25">
      <c r="A478" s="211" t="s">
        <v>1163</v>
      </c>
      <c r="B478" s="209" t="s">
        <v>2256</v>
      </c>
      <c r="C478" s="209" t="s">
        <v>2260</v>
      </c>
      <c r="D478" s="209" t="s">
        <v>450</v>
      </c>
      <c r="E478" s="209" t="s">
        <v>1914</v>
      </c>
      <c r="F478" s="208">
        <v>2.8928999999999993E-2</v>
      </c>
      <c r="G478" s="208">
        <v>2.9724499999999998</v>
      </c>
      <c r="H478" s="209" t="s">
        <v>1916</v>
      </c>
      <c r="I478" s="209" t="s">
        <v>182</v>
      </c>
      <c r="J478" s="209" t="s">
        <v>1924</v>
      </c>
      <c r="K478" s="212" t="s">
        <v>2798</v>
      </c>
      <c r="L478" s="209"/>
      <c r="M478" s="208">
        <v>0</v>
      </c>
      <c r="N478" s="208">
        <v>1.21</v>
      </c>
      <c r="O478" s="208">
        <v>0</v>
      </c>
      <c r="P478" s="208">
        <v>1.2949999999999999</v>
      </c>
      <c r="Q478" s="208">
        <v>0</v>
      </c>
      <c r="R478" s="208">
        <v>0.77220077220077221</v>
      </c>
      <c r="S478" s="208">
        <v>0</v>
      </c>
      <c r="T478" s="208">
        <v>0.82644628099173556</v>
      </c>
      <c r="U478" s="280" t="s">
        <v>2258</v>
      </c>
    </row>
    <row r="479" spans="1:21" x14ac:dyDescent="0.25">
      <c r="A479" s="211" t="s">
        <v>2353</v>
      </c>
      <c r="B479" s="209" t="s">
        <v>2335</v>
      </c>
      <c r="C479" s="209" t="s">
        <v>1911</v>
      </c>
      <c r="D479" s="209" t="s">
        <v>450</v>
      </c>
      <c r="E479" s="209" t="s">
        <v>1914</v>
      </c>
      <c r="F479" s="208">
        <v>1.6951367521367521E-2</v>
      </c>
      <c r="G479" s="208">
        <v>3.0200282051282055</v>
      </c>
      <c r="H479" s="209" t="s">
        <v>1916</v>
      </c>
      <c r="I479" s="209" t="s">
        <v>182</v>
      </c>
      <c r="J479" s="209" t="s">
        <v>1924</v>
      </c>
      <c r="K479" s="212" t="s">
        <v>2798</v>
      </c>
      <c r="L479" s="209"/>
      <c r="M479" s="208">
        <v>0</v>
      </c>
      <c r="N479" s="208">
        <v>1.3149999999999999</v>
      </c>
      <c r="O479" s="208">
        <v>0</v>
      </c>
      <c r="P479" s="208">
        <v>1.5329999999999999</v>
      </c>
      <c r="Q479" s="208">
        <v>0</v>
      </c>
      <c r="R479" s="208">
        <v>0.65231572080887157</v>
      </c>
      <c r="S479" s="208">
        <v>0</v>
      </c>
      <c r="T479" s="208">
        <v>0.76045627376425862</v>
      </c>
      <c r="U479" s="280" t="s">
        <v>2337</v>
      </c>
    </row>
    <row r="480" spans="1:21" x14ac:dyDescent="0.25">
      <c r="A480" s="211" t="s">
        <v>2355</v>
      </c>
      <c r="B480" s="209" t="s">
        <v>2335</v>
      </c>
      <c r="C480" s="209" t="s">
        <v>2356</v>
      </c>
      <c r="D480" s="209" t="s">
        <v>450</v>
      </c>
      <c r="E480" s="209" t="s">
        <v>1914</v>
      </c>
      <c r="F480" s="208">
        <v>1.6951367521367521E-2</v>
      </c>
      <c r="G480" s="208">
        <v>3.0200282051282055</v>
      </c>
      <c r="H480" s="209" t="s">
        <v>1916</v>
      </c>
      <c r="I480" s="209" t="s">
        <v>182</v>
      </c>
      <c r="J480" s="209" t="s">
        <v>1924</v>
      </c>
      <c r="K480" s="212" t="s">
        <v>2798</v>
      </c>
      <c r="L480" s="209"/>
      <c r="M480" s="208">
        <v>0</v>
      </c>
      <c r="N480" s="208">
        <v>1.3149999999999999</v>
      </c>
      <c r="O480" s="208">
        <v>0</v>
      </c>
      <c r="P480" s="208">
        <v>1.5329999999999999</v>
      </c>
      <c r="Q480" s="208">
        <v>0</v>
      </c>
      <c r="R480" s="208">
        <v>0.65231572080887157</v>
      </c>
      <c r="S480" s="208">
        <v>0</v>
      </c>
      <c r="T480" s="208">
        <v>0.76045627376425862</v>
      </c>
      <c r="U480" s="280" t="s">
        <v>2337</v>
      </c>
    </row>
    <row r="481" spans="1:21" x14ac:dyDescent="0.25">
      <c r="A481" s="211" t="s">
        <v>1331</v>
      </c>
      <c r="B481" s="209" t="s">
        <v>2335</v>
      </c>
      <c r="C481" s="209" t="s">
        <v>2354</v>
      </c>
      <c r="D481" s="209" t="s">
        <v>450</v>
      </c>
      <c r="E481" s="209" t="s">
        <v>1914</v>
      </c>
      <c r="F481" s="208">
        <v>1.6951367521367521E-2</v>
      </c>
      <c r="G481" s="208">
        <v>3.0200282051282055</v>
      </c>
      <c r="H481" s="209" t="s">
        <v>1916</v>
      </c>
      <c r="I481" s="209" t="s">
        <v>182</v>
      </c>
      <c r="J481" s="209" t="s">
        <v>1924</v>
      </c>
      <c r="K481" s="212" t="s">
        <v>2798</v>
      </c>
      <c r="L481" s="209"/>
      <c r="M481" s="208">
        <v>0</v>
      </c>
      <c r="N481" s="208">
        <v>1.3149999999999999</v>
      </c>
      <c r="O481" s="208">
        <v>0</v>
      </c>
      <c r="P481" s="208">
        <v>1.5329999999999999</v>
      </c>
      <c r="Q481" s="208">
        <v>0</v>
      </c>
      <c r="R481" s="208">
        <v>0.65231572080887157</v>
      </c>
      <c r="S481" s="208">
        <v>0</v>
      </c>
      <c r="T481" s="208">
        <v>0.76045627376425862</v>
      </c>
      <c r="U481" s="280" t="s">
        <v>2337</v>
      </c>
    </row>
    <row r="482" spans="1:21" x14ac:dyDescent="0.25">
      <c r="A482" s="211" t="s">
        <v>2490</v>
      </c>
      <c r="B482" s="209" t="s">
        <v>2475</v>
      </c>
      <c r="C482" s="209" t="s">
        <v>1911</v>
      </c>
      <c r="D482" s="209" t="s">
        <v>450</v>
      </c>
      <c r="E482" s="209" t="s">
        <v>1914</v>
      </c>
      <c r="F482" s="208">
        <v>1.7963888888888897E-2</v>
      </c>
      <c r="G482" s="208">
        <v>2.990647222222222</v>
      </c>
      <c r="H482" s="209" t="s">
        <v>1916</v>
      </c>
      <c r="I482" s="209" t="s">
        <v>182</v>
      </c>
      <c r="J482" s="209" t="s">
        <v>1924</v>
      </c>
      <c r="K482" s="212" t="s">
        <v>2798</v>
      </c>
      <c r="L482" s="209"/>
      <c r="M482" s="208">
        <v>0</v>
      </c>
      <c r="N482" s="208">
        <v>1.139</v>
      </c>
      <c r="O482" s="208">
        <v>0</v>
      </c>
      <c r="P482" s="208">
        <v>1.3080000000000001</v>
      </c>
      <c r="Q482" s="208">
        <v>0</v>
      </c>
      <c r="R482" s="208">
        <v>0.76452599388379205</v>
      </c>
      <c r="S482" s="208">
        <v>0</v>
      </c>
      <c r="T482" s="208">
        <v>0.87796312554872691</v>
      </c>
      <c r="U482" s="280" t="s">
        <v>2477</v>
      </c>
    </row>
    <row r="483" spans="1:21" x14ac:dyDescent="0.25">
      <c r="A483" s="211" t="s">
        <v>1335</v>
      </c>
      <c r="B483" s="209" t="s">
        <v>2335</v>
      </c>
      <c r="C483" s="209" t="s">
        <v>2361</v>
      </c>
      <c r="D483" s="209" t="s">
        <v>453</v>
      </c>
      <c r="E483" s="209" t="s">
        <v>1914</v>
      </c>
      <c r="F483" s="208">
        <v>1.6951367521367521E-2</v>
      </c>
      <c r="G483" s="208">
        <v>3.0200282051282055</v>
      </c>
      <c r="H483" s="209" t="s">
        <v>1916</v>
      </c>
      <c r="I483" s="209" t="s">
        <v>182</v>
      </c>
      <c r="J483" s="209" t="s">
        <v>1924</v>
      </c>
      <c r="K483" s="212" t="s">
        <v>2798</v>
      </c>
      <c r="L483" s="209"/>
      <c r="M483" s="208">
        <v>0</v>
      </c>
      <c r="N483" s="208">
        <v>1.3149999999999999</v>
      </c>
      <c r="O483" s="208">
        <v>0</v>
      </c>
      <c r="P483" s="208">
        <v>1.5329999999999999</v>
      </c>
      <c r="Q483" s="208">
        <v>0</v>
      </c>
      <c r="R483" s="208">
        <v>0.65231572080887157</v>
      </c>
      <c r="S483" s="208">
        <v>0</v>
      </c>
      <c r="T483" s="208">
        <v>0.76045627376425862</v>
      </c>
      <c r="U483" s="280" t="s">
        <v>2337</v>
      </c>
    </row>
    <row r="484" spans="1:21" x14ac:dyDescent="0.25">
      <c r="A484" s="211" t="s">
        <v>1341</v>
      </c>
      <c r="B484" s="209" t="s">
        <v>2335</v>
      </c>
      <c r="C484" s="209" t="s">
        <v>2386</v>
      </c>
      <c r="D484" s="209" t="s">
        <v>450</v>
      </c>
      <c r="E484" s="209" t="s">
        <v>1914</v>
      </c>
      <c r="F484" s="208">
        <v>1.6951367521367521E-2</v>
      </c>
      <c r="G484" s="208">
        <v>3.0200282051282055</v>
      </c>
      <c r="H484" s="209" t="s">
        <v>1916</v>
      </c>
      <c r="I484" s="209" t="s">
        <v>182</v>
      </c>
      <c r="J484" s="209" t="s">
        <v>1924</v>
      </c>
      <c r="K484" s="212" t="s">
        <v>2798</v>
      </c>
      <c r="L484" s="209"/>
      <c r="M484" s="208">
        <v>0</v>
      </c>
      <c r="N484" s="208">
        <v>1.3149999999999999</v>
      </c>
      <c r="O484" s="208">
        <v>0</v>
      </c>
      <c r="P484" s="208">
        <v>1.5329999999999999</v>
      </c>
      <c r="Q484" s="208">
        <v>0</v>
      </c>
      <c r="R484" s="208">
        <v>0.65231572080887157</v>
      </c>
      <c r="S484" s="208">
        <v>0</v>
      </c>
      <c r="T484" s="208">
        <v>0.76045627376425862</v>
      </c>
      <c r="U484" s="280" t="s">
        <v>2337</v>
      </c>
    </row>
    <row r="485" spans="1:21" x14ac:dyDescent="0.25">
      <c r="A485" s="211" t="s">
        <v>2384</v>
      </c>
      <c r="B485" s="209" t="s">
        <v>2335</v>
      </c>
      <c r="C485" s="209" t="s">
        <v>2385</v>
      </c>
      <c r="D485" s="209" t="s">
        <v>450</v>
      </c>
      <c r="E485" s="209" t="s">
        <v>1914</v>
      </c>
      <c r="F485" s="208">
        <v>1.6951367521367521E-2</v>
      </c>
      <c r="G485" s="208">
        <v>3.0200282051282055</v>
      </c>
      <c r="H485" s="209" t="s">
        <v>1916</v>
      </c>
      <c r="I485" s="209" t="s">
        <v>182</v>
      </c>
      <c r="J485" s="209" t="s">
        <v>1924</v>
      </c>
      <c r="K485" s="212" t="s">
        <v>2798</v>
      </c>
      <c r="L485" s="209"/>
      <c r="M485" s="208">
        <v>0</v>
      </c>
      <c r="N485" s="208">
        <v>1.3149999999999999</v>
      </c>
      <c r="O485" s="208">
        <v>0</v>
      </c>
      <c r="P485" s="208">
        <v>1.5329999999999999</v>
      </c>
      <c r="Q485" s="208">
        <v>0</v>
      </c>
      <c r="R485" s="208">
        <v>0.65231572080887157</v>
      </c>
      <c r="S485" s="208">
        <v>0</v>
      </c>
      <c r="T485" s="208">
        <v>0.76045627376425862</v>
      </c>
      <c r="U485" s="280" t="s">
        <v>2337</v>
      </c>
    </row>
    <row r="486" spans="1:21" x14ac:dyDescent="0.25">
      <c r="A486" s="211" t="s">
        <v>2364</v>
      </c>
      <c r="B486" s="209" t="s">
        <v>2335</v>
      </c>
      <c r="C486" s="209" t="s">
        <v>1911</v>
      </c>
      <c r="D486" s="209" t="s">
        <v>450</v>
      </c>
      <c r="E486" s="209" t="s">
        <v>1914</v>
      </c>
      <c r="F486" s="208">
        <v>1.6951367521367521E-2</v>
      </c>
      <c r="G486" s="208">
        <v>3.0200282051282055</v>
      </c>
      <c r="H486" s="209" t="s">
        <v>1916</v>
      </c>
      <c r="I486" s="209" t="s">
        <v>182</v>
      </c>
      <c r="J486" s="209" t="s">
        <v>1924</v>
      </c>
      <c r="K486" s="212" t="s">
        <v>2798</v>
      </c>
      <c r="L486" s="209"/>
      <c r="M486" s="208">
        <v>0</v>
      </c>
      <c r="N486" s="208">
        <v>1.3149999999999999</v>
      </c>
      <c r="O486" s="208">
        <v>0</v>
      </c>
      <c r="P486" s="208">
        <v>1.5329999999999999</v>
      </c>
      <c r="Q486" s="208">
        <v>0</v>
      </c>
      <c r="R486" s="208">
        <v>0.65231572080887157</v>
      </c>
      <c r="S486" s="208">
        <v>0</v>
      </c>
      <c r="T486" s="208">
        <v>0.76045627376425862</v>
      </c>
      <c r="U486" s="280" t="s">
        <v>2337</v>
      </c>
    </row>
    <row r="487" spans="1:21" x14ac:dyDescent="0.25">
      <c r="A487" s="211" t="s">
        <v>1343</v>
      </c>
      <c r="B487" s="209" t="s">
        <v>2335</v>
      </c>
      <c r="C487" s="209" t="s">
        <v>2365</v>
      </c>
      <c r="D487" s="209" t="s">
        <v>450</v>
      </c>
      <c r="E487" s="209" t="s">
        <v>1914</v>
      </c>
      <c r="F487" s="208">
        <v>1.6951367521367521E-2</v>
      </c>
      <c r="G487" s="208">
        <v>3.0200282051282055</v>
      </c>
      <c r="H487" s="209" t="s">
        <v>1916</v>
      </c>
      <c r="I487" s="209" t="s">
        <v>182</v>
      </c>
      <c r="J487" s="209" t="s">
        <v>1924</v>
      </c>
      <c r="K487" s="212" t="s">
        <v>2798</v>
      </c>
      <c r="L487" s="209"/>
      <c r="M487" s="208">
        <v>0</v>
      </c>
      <c r="N487" s="208">
        <v>1.3149999999999999</v>
      </c>
      <c r="O487" s="208">
        <v>0</v>
      </c>
      <c r="P487" s="208">
        <v>1.5329999999999999</v>
      </c>
      <c r="Q487" s="208">
        <v>0</v>
      </c>
      <c r="R487" s="208">
        <v>0.65231572080887157</v>
      </c>
      <c r="S487" s="208">
        <v>0</v>
      </c>
      <c r="T487" s="208">
        <v>0.76045627376425862</v>
      </c>
      <c r="U487" s="280" t="s">
        <v>2337</v>
      </c>
    </row>
    <row r="488" spans="1:21" x14ac:dyDescent="0.25">
      <c r="A488" s="211" t="s">
        <v>2366</v>
      </c>
      <c r="B488" s="209" t="s">
        <v>2335</v>
      </c>
      <c r="C488" s="209" t="s">
        <v>2367</v>
      </c>
      <c r="D488" s="209" t="s">
        <v>450</v>
      </c>
      <c r="E488" s="209" t="s">
        <v>1914</v>
      </c>
      <c r="F488" s="208">
        <v>1.6951367521367521E-2</v>
      </c>
      <c r="G488" s="208">
        <v>3.0200282051282055</v>
      </c>
      <c r="H488" s="209" t="s">
        <v>1916</v>
      </c>
      <c r="I488" s="209" t="s">
        <v>182</v>
      </c>
      <c r="J488" s="209" t="s">
        <v>1924</v>
      </c>
      <c r="K488" s="212" t="s">
        <v>2798</v>
      </c>
      <c r="L488" s="209"/>
      <c r="M488" s="208">
        <v>0</v>
      </c>
      <c r="N488" s="208">
        <v>1.3149999999999999</v>
      </c>
      <c r="O488" s="208">
        <v>0</v>
      </c>
      <c r="P488" s="208">
        <v>1.5329999999999999</v>
      </c>
      <c r="Q488" s="208">
        <v>0</v>
      </c>
      <c r="R488" s="208">
        <v>0.65231572080887157</v>
      </c>
      <c r="S488" s="208">
        <v>0</v>
      </c>
      <c r="T488" s="208">
        <v>0.76045627376425862</v>
      </c>
      <c r="U488" s="280" t="s">
        <v>2337</v>
      </c>
    </row>
    <row r="489" spans="1:21" x14ac:dyDescent="0.25">
      <c r="A489" s="211" t="s">
        <v>1347</v>
      </c>
      <c r="B489" s="209" t="s">
        <v>2335</v>
      </c>
      <c r="C489" s="209" t="s">
        <v>2368</v>
      </c>
      <c r="D489" s="209" t="s">
        <v>450</v>
      </c>
      <c r="E489" s="209" t="s">
        <v>1914</v>
      </c>
      <c r="F489" s="208">
        <v>1.6951367521367521E-2</v>
      </c>
      <c r="G489" s="208">
        <v>3.0200282051282055</v>
      </c>
      <c r="H489" s="209" t="s">
        <v>1916</v>
      </c>
      <c r="I489" s="209" t="s">
        <v>182</v>
      </c>
      <c r="J489" s="209" t="s">
        <v>1924</v>
      </c>
      <c r="K489" s="212" t="s">
        <v>2798</v>
      </c>
      <c r="L489" s="209"/>
      <c r="M489" s="208">
        <v>0</v>
      </c>
      <c r="N489" s="208">
        <v>1.3149999999999999</v>
      </c>
      <c r="O489" s="208">
        <v>0</v>
      </c>
      <c r="P489" s="208">
        <v>1.5329999999999999</v>
      </c>
      <c r="Q489" s="208">
        <v>0</v>
      </c>
      <c r="R489" s="208">
        <v>0.65231572080887157</v>
      </c>
      <c r="S489" s="208">
        <v>0</v>
      </c>
      <c r="T489" s="208">
        <v>0.76045627376425862</v>
      </c>
      <c r="U489" s="280" t="s">
        <v>2337</v>
      </c>
    </row>
    <row r="490" spans="1:21" x14ac:dyDescent="0.25">
      <c r="A490" s="211" t="s">
        <v>1349</v>
      </c>
      <c r="B490" s="209" t="s">
        <v>2335</v>
      </c>
      <c r="C490" s="209" t="s">
        <v>2369</v>
      </c>
      <c r="D490" s="209" t="s">
        <v>450</v>
      </c>
      <c r="E490" s="209" t="s">
        <v>1914</v>
      </c>
      <c r="F490" s="208">
        <v>1.6951367521367521E-2</v>
      </c>
      <c r="G490" s="208">
        <v>3.0200282051282055</v>
      </c>
      <c r="H490" s="209" t="s">
        <v>1916</v>
      </c>
      <c r="I490" s="209" t="s">
        <v>182</v>
      </c>
      <c r="J490" s="209" t="s">
        <v>1924</v>
      </c>
      <c r="K490" s="212" t="s">
        <v>2798</v>
      </c>
      <c r="L490" s="209"/>
      <c r="M490" s="208">
        <v>0</v>
      </c>
      <c r="N490" s="208">
        <v>1.3149999999999999</v>
      </c>
      <c r="O490" s="208">
        <v>0</v>
      </c>
      <c r="P490" s="208">
        <v>1.5329999999999999</v>
      </c>
      <c r="Q490" s="208">
        <v>0</v>
      </c>
      <c r="R490" s="208">
        <v>0.65231572080887157</v>
      </c>
      <c r="S490" s="208">
        <v>0</v>
      </c>
      <c r="T490" s="208">
        <v>0.76045627376425862</v>
      </c>
      <c r="U490" s="280" t="s">
        <v>2337</v>
      </c>
    </row>
    <row r="491" spans="1:21" x14ac:dyDescent="0.25">
      <c r="A491" s="211" t="s">
        <v>1460</v>
      </c>
      <c r="B491" s="209" t="s">
        <v>2449</v>
      </c>
      <c r="C491" s="209" t="s">
        <v>2452</v>
      </c>
      <c r="D491" s="209" t="s">
        <v>427</v>
      </c>
      <c r="E491" s="209" t="s">
        <v>1914</v>
      </c>
      <c r="F491" s="208">
        <v>1.6650277777777774E-2</v>
      </c>
      <c r="G491" s="208">
        <v>2.9921000000000002</v>
      </c>
      <c r="H491" s="209" t="s">
        <v>1916</v>
      </c>
      <c r="I491" s="209" t="s">
        <v>182</v>
      </c>
      <c r="J491" s="209" t="s">
        <v>1924</v>
      </c>
      <c r="K491" s="212" t="s">
        <v>2798</v>
      </c>
      <c r="L491" s="209"/>
      <c r="M491" s="208">
        <v>0</v>
      </c>
      <c r="N491" s="208">
        <v>1.0460251046025104</v>
      </c>
      <c r="O491" s="208">
        <v>0</v>
      </c>
      <c r="P491" s="208">
        <v>1.1919999999999999</v>
      </c>
      <c r="Q491" s="208">
        <v>0</v>
      </c>
      <c r="R491" s="208">
        <v>0.83892617449664431</v>
      </c>
      <c r="S491" s="208">
        <v>0</v>
      </c>
      <c r="T491" s="208">
        <v>0.95599999999999996</v>
      </c>
      <c r="U491" s="280" t="s">
        <v>2451</v>
      </c>
    </row>
    <row r="492" spans="1:21" x14ac:dyDescent="0.25">
      <c r="A492" s="209" t="s">
        <v>1435</v>
      </c>
      <c r="B492" s="209" t="s">
        <v>2449</v>
      </c>
      <c r="C492" s="209" t="s">
        <v>2450</v>
      </c>
      <c r="D492" s="209" t="s">
        <v>427</v>
      </c>
      <c r="E492" s="209" t="s">
        <v>1914</v>
      </c>
      <c r="F492" s="208">
        <v>1.6650277777777774E-2</v>
      </c>
      <c r="G492" s="208">
        <v>2.9921000000000002</v>
      </c>
      <c r="H492" s="209" t="s">
        <v>1916</v>
      </c>
      <c r="I492" s="209" t="s">
        <v>182</v>
      </c>
      <c r="J492" s="209" t="s">
        <v>1924</v>
      </c>
      <c r="K492" s="212" t="s">
        <v>2798</v>
      </c>
      <c r="L492" s="209"/>
      <c r="M492" s="208">
        <v>0</v>
      </c>
      <c r="N492" s="208">
        <v>1.0460251046025104</v>
      </c>
      <c r="O492" s="208">
        <v>0</v>
      </c>
      <c r="P492" s="208">
        <v>1.1919999999999999</v>
      </c>
      <c r="Q492" s="208">
        <v>0</v>
      </c>
      <c r="R492" s="208">
        <v>0.83892617449664431</v>
      </c>
      <c r="S492" s="208">
        <v>0</v>
      </c>
      <c r="T492" s="208">
        <v>0.95599999999999996</v>
      </c>
      <c r="U492" s="280" t="s">
        <v>2451</v>
      </c>
    </row>
    <row r="493" spans="1:21" x14ac:dyDescent="0.25">
      <c r="A493" s="211" t="s">
        <v>2453</v>
      </c>
      <c r="B493" s="209" t="s">
        <v>2449</v>
      </c>
      <c r="C493" s="209" t="s">
        <v>2454</v>
      </c>
      <c r="D493" s="209" t="s">
        <v>427</v>
      </c>
      <c r="E493" s="209" t="s">
        <v>1914</v>
      </c>
      <c r="F493" s="208">
        <v>1.6650277777777774E-2</v>
      </c>
      <c r="G493" s="208">
        <v>2.9921000000000002</v>
      </c>
      <c r="H493" s="209" t="s">
        <v>1916</v>
      </c>
      <c r="I493" s="209" t="s">
        <v>182</v>
      </c>
      <c r="J493" s="209" t="s">
        <v>1924</v>
      </c>
      <c r="K493" s="212" t="s">
        <v>2798</v>
      </c>
      <c r="L493" s="209"/>
      <c r="M493" s="208">
        <v>0</v>
      </c>
      <c r="N493" s="208">
        <v>1.0460251046025104</v>
      </c>
      <c r="O493" s="208">
        <v>0</v>
      </c>
      <c r="P493" s="208">
        <v>1.1919999999999999</v>
      </c>
      <c r="Q493" s="208">
        <v>0</v>
      </c>
      <c r="R493" s="208">
        <v>0.83892617449664431</v>
      </c>
      <c r="S493" s="208">
        <v>0</v>
      </c>
      <c r="T493" s="208">
        <v>0.95599999999999996</v>
      </c>
      <c r="U493" s="280" t="s">
        <v>2451</v>
      </c>
    </row>
    <row r="494" spans="1:21" x14ac:dyDescent="0.25">
      <c r="A494" s="211" t="s">
        <v>1444</v>
      </c>
      <c r="B494" s="209" t="s">
        <v>2449</v>
      </c>
      <c r="C494" s="209" t="s">
        <v>2455</v>
      </c>
      <c r="D494" s="209" t="s">
        <v>427</v>
      </c>
      <c r="E494" s="209" t="s">
        <v>1914</v>
      </c>
      <c r="F494" s="208">
        <v>1.6650277777777774E-2</v>
      </c>
      <c r="G494" s="208">
        <v>2.9921000000000002</v>
      </c>
      <c r="H494" s="209" t="s">
        <v>1916</v>
      </c>
      <c r="I494" s="209" t="s">
        <v>182</v>
      </c>
      <c r="J494" s="209" t="s">
        <v>1924</v>
      </c>
      <c r="K494" s="212" t="s">
        <v>2798</v>
      </c>
      <c r="L494" s="209"/>
      <c r="M494" s="208">
        <v>0</v>
      </c>
      <c r="N494" s="208">
        <v>1.0460251046025104</v>
      </c>
      <c r="O494" s="208">
        <v>0</v>
      </c>
      <c r="P494" s="208">
        <v>1.1919999999999999</v>
      </c>
      <c r="Q494" s="208">
        <v>0</v>
      </c>
      <c r="R494" s="208">
        <v>0.83892617449664431</v>
      </c>
      <c r="S494" s="208">
        <v>0</v>
      </c>
      <c r="T494" s="208">
        <v>0.95599999999999996</v>
      </c>
      <c r="U494" s="280" t="s">
        <v>2451</v>
      </c>
    </row>
    <row r="495" spans="1:21" x14ac:dyDescent="0.25">
      <c r="A495" s="211" t="s">
        <v>1446</v>
      </c>
      <c r="B495" s="209" t="s">
        <v>2449</v>
      </c>
      <c r="C495" s="209" t="s">
        <v>2456</v>
      </c>
      <c r="D495" s="209" t="s">
        <v>427</v>
      </c>
      <c r="E495" s="209" t="s">
        <v>1914</v>
      </c>
      <c r="F495" s="208">
        <v>1.6650277777777774E-2</v>
      </c>
      <c r="G495" s="208">
        <v>2.9921000000000002</v>
      </c>
      <c r="H495" s="209" t="s">
        <v>1916</v>
      </c>
      <c r="I495" s="209" t="s">
        <v>182</v>
      </c>
      <c r="J495" s="209" t="s">
        <v>1924</v>
      </c>
      <c r="K495" s="212" t="s">
        <v>2798</v>
      </c>
      <c r="L495" s="209"/>
      <c r="M495" s="208">
        <v>0</v>
      </c>
      <c r="N495" s="208">
        <v>1.0460251046025104</v>
      </c>
      <c r="O495" s="208">
        <v>0</v>
      </c>
      <c r="P495" s="208">
        <v>1.1919999999999999</v>
      </c>
      <c r="Q495" s="208">
        <v>0</v>
      </c>
      <c r="R495" s="208">
        <v>0.83892617449664431</v>
      </c>
      <c r="S495" s="208">
        <v>0</v>
      </c>
      <c r="T495" s="208">
        <v>0.95599999999999996</v>
      </c>
      <c r="U495" s="280" t="s">
        <v>2451</v>
      </c>
    </row>
    <row r="496" spans="1:21" x14ac:dyDescent="0.25">
      <c r="A496" s="211" t="s">
        <v>1454</v>
      </c>
      <c r="B496" s="209" t="s">
        <v>2449</v>
      </c>
      <c r="C496" s="209" t="s">
        <v>2459</v>
      </c>
      <c r="D496" s="209" t="s">
        <v>427</v>
      </c>
      <c r="E496" s="209" t="s">
        <v>1914</v>
      </c>
      <c r="F496" s="208">
        <v>1.6650277777777774E-2</v>
      </c>
      <c r="G496" s="208">
        <v>2.9921000000000002</v>
      </c>
      <c r="H496" s="209" t="s">
        <v>1916</v>
      </c>
      <c r="I496" s="209" t="s">
        <v>182</v>
      </c>
      <c r="J496" s="209" t="s">
        <v>1924</v>
      </c>
      <c r="K496" s="212" t="s">
        <v>2798</v>
      </c>
      <c r="L496" s="209"/>
      <c r="M496" s="208">
        <v>0</v>
      </c>
      <c r="N496" s="208">
        <v>1.0460251046025104</v>
      </c>
      <c r="O496" s="208">
        <v>0</v>
      </c>
      <c r="P496" s="208">
        <v>1.1919999999999999</v>
      </c>
      <c r="Q496" s="208">
        <v>0</v>
      </c>
      <c r="R496" s="208">
        <v>0.83892617449664431</v>
      </c>
      <c r="S496" s="208">
        <v>0</v>
      </c>
      <c r="T496" s="208">
        <v>0.95599999999999996</v>
      </c>
      <c r="U496" s="280" t="s">
        <v>2451</v>
      </c>
    </row>
    <row r="497" spans="1:21" x14ac:dyDescent="0.25">
      <c r="A497" s="211" t="s">
        <v>1456</v>
      </c>
      <c r="B497" s="209" t="s">
        <v>2449</v>
      </c>
      <c r="C497" s="209" t="s">
        <v>2460</v>
      </c>
      <c r="D497" s="209" t="s">
        <v>427</v>
      </c>
      <c r="E497" s="209" t="s">
        <v>1914</v>
      </c>
      <c r="F497" s="208">
        <v>1.6650277777777774E-2</v>
      </c>
      <c r="G497" s="208">
        <v>2.9921000000000002</v>
      </c>
      <c r="H497" s="209" t="s">
        <v>1916</v>
      </c>
      <c r="I497" s="209" t="s">
        <v>182</v>
      </c>
      <c r="J497" s="209" t="s">
        <v>1924</v>
      </c>
      <c r="K497" s="212" t="s">
        <v>2798</v>
      </c>
      <c r="L497" s="209"/>
      <c r="M497" s="208">
        <v>0</v>
      </c>
      <c r="N497" s="208">
        <v>1.0460251046025104</v>
      </c>
      <c r="O497" s="208">
        <v>0</v>
      </c>
      <c r="P497" s="208">
        <v>1.1919999999999999</v>
      </c>
      <c r="Q497" s="208">
        <v>0</v>
      </c>
      <c r="R497" s="208">
        <v>0.83892617449664431</v>
      </c>
      <c r="S497" s="208">
        <v>0</v>
      </c>
      <c r="T497" s="208">
        <v>0.95599999999999996</v>
      </c>
      <c r="U497" s="280" t="s">
        <v>2451</v>
      </c>
    </row>
    <row r="498" spans="1:21" x14ac:dyDescent="0.25">
      <c r="A498" s="211" t="s">
        <v>1462</v>
      </c>
      <c r="B498" s="209" t="s">
        <v>2449</v>
      </c>
      <c r="C498" s="209" t="s">
        <v>2461</v>
      </c>
      <c r="D498" s="209" t="s">
        <v>427</v>
      </c>
      <c r="E498" s="209" t="s">
        <v>1914</v>
      </c>
      <c r="F498" s="208">
        <v>1.6650277777777774E-2</v>
      </c>
      <c r="G498" s="208">
        <v>2.9921000000000002</v>
      </c>
      <c r="H498" s="209" t="s">
        <v>1916</v>
      </c>
      <c r="I498" s="209" t="s">
        <v>182</v>
      </c>
      <c r="J498" s="209" t="s">
        <v>1924</v>
      </c>
      <c r="K498" s="212" t="s">
        <v>2798</v>
      </c>
      <c r="L498" s="209"/>
      <c r="M498" s="208">
        <v>0</v>
      </c>
      <c r="N498" s="208">
        <v>1.0460251046025104</v>
      </c>
      <c r="O498" s="208">
        <v>0</v>
      </c>
      <c r="P498" s="208">
        <v>1.1919999999999999</v>
      </c>
      <c r="Q498" s="208">
        <v>0</v>
      </c>
      <c r="R498" s="208">
        <v>0.83892617449664431</v>
      </c>
      <c r="S498" s="208">
        <v>0</v>
      </c>
      <c r="T498" s="208">
        <v>0.95599999999999996</v>
      </c>
      <c r="U498" s="280" t="s">
        <v>2451</v>
      </c>
    </row>
    <row r="499" spans="1:21" x14ac:dyDescent="0.25">
      <c r="A499" s="211" t="s">
        <v>2462</v>
      </c>
      <c r="B499" s="209" t="s">
        <v>2449</v>
      </c>
      <c r="C499" s="209" t="s">
        <v>1911</v>
      </c>
      <c r="D499" s="209" t="s">
        <v>427</v>
      </c>
      <c r="E499" s="209" t="s">
        <v>1914</v>
      </c>
      <c r="F499" s="208">
        <v>1.6650277777777774E-2</v>
      </c>
      <c r="G499" s="208">
        <v>2.9921000000000002</v>
      </c>
      <c r="H499" s="209" t="s">
        <v>1916</v>
      </c>
      <c r="I499" s="209" t="s">
        <v>182</v>
      </c>
      <c r="J499" s="209" t="s">
        <v>1924</v>
      </c>
      <c r="K499" s="212" t="s">
        <v>2798</v>
      </c>
      <c r="L499" s="209"/>
      <c r="M499" s="208">
        <v>0</v>
      </c>
      <c r="N499" s="208">
        <v>1.0460251046025104</v>
      </c>
      <c r="O499" s="208">
        <v>0</v>
      </c>
      <c r="P499" s="208">
        <v>1.1919999999999999</v>
      </c>
      <c r="Q499" s="208">
        <v>0</v>
      </c>
      <c r="R499" s="208">
        <v>0.83892617449664431</v>
      </c>
      <c r="S499" s="208">
        <v>0</v>
      </c>
      <c r="T499" s="208">
        <v>0.95599999999999996</v>
      </c>
      <c r="U499" s="280" t="s">
        <v>2451</v>
      </c>
    </row>
    <row r="500" spans="1:21" x14ac:dyDescent="0.25">
      <c r="A500" s="211" t="s">
        <v>1466</v>
      </c>
      <c r="B500" s="209" t="s">
        <v>2449</v>
      </c>
      <c r="C500" s="209" t="s">
        <v>2463</v>
      </c>
      <c r="D500" s="209" t="s">
        <v>427</v>
      </c>
      <c r="E500" s="209" t="s">
        <v>1914</v>
      </c>
      <c r="F500" s="208">
        <v>1.6650277777777774E-2</v>
      </c>
      <c r="G500" s="208">
        <v>2.9921000000000002</v>
      </c>
      <c r="H500" s="209" t="s">
        <v>1916</v>
      </c>
      <c r="I500" s="209" t="s">
        <v>182</v>
      </c>
      <c r="J500" s="209" t="s">
        <v>1924</v>
      </c>
      <c r="K500" s="212" t="s">
        <v>2798</v>
      </c>
      <c r="L500" s="209"/>
      <c r="M500" s="208">
        <v>0</v>
      </c>
      <c r="N500" s="208">
        <v>1.0460251046025104</v>
      </c>
      <c r="O500" s="208">
        <v>0</v>
      </c>
      <c r="P500" s="208">
        <v>1.1919999999999999</v>
      </c>
      <c r="Q500" s="208">
        <v>0</v>
      </c>
      <c r="R500" s="208">
        <v>0.83892617449664431</v>
      </c>
      <c r="S500" s="208">
        <v>0</v>
      </c>
      <c r="T500" s="208">
        <v>0.95599999999999996</v>
      </c>
      <c r="U500" s="280" t="s">
        <v>2451</v>
      </c>
    </row>
    <row r="501" spans="1:21" x14ac:dyDescent="0.25">
      <c r="A501" s="211" t="s">
        <v>876</v>
      </c>
      <c r="B501" s="209" t="s">
        <v>1979</v>
      </c>
      <c r="C501" s="209" t="s">
        <v>1982</v>
      </c>
      <c r="D501" s="209" t="s">
        <v>556</v>
      </c>
      <c r="E501" s="209" t="s">
        <v>1914</v>
      </c>
      <c r="F501" s="208">
        <v>7.0020000000000013E-3</v>
      </c>
      <c r="G501" s="208">
        <v>3.0680000000000001</v>
      </c>
      <c r="H501" s="209" t="s">
        <v>1916</v>
      </c>
      <c r="I501" s="209" t="s">
        <v>182</v>
      </c>
      <c r="J501" s="209" t="s">
        <v>1924</v>
      </c>
      <c r="K501" s="212" t="s">
        <v>2798</v>
      </c>
      <c r="L501" s="209"/>
      <c r="M501" s="208">
        <v>0</v>
      </c>
      <c r="N501" s="208">
        <v>1</v>
      </c>
      <c r="O501" s="208">
        <v>0</v>
      </c>
      <c r="P501" s="208">
        <v>1</v>
      </c>
      <c r="Q501" s="208">
        <v>0</v>
      </c>
      <c r="R501" s="208">
        <v>1</v>
      </c>
      <c r="S501" s="208">
        <v>0</v>
      </c>
      <c r="T501" s="208">
        <v>1</v>
      </c>
      <c r="U501" s="280" t="s">
        <v>1981</v>
      </c>
    </row>
    <row r="502" spans="1:21" x14ac:dyDescent="0.25">
      <c r="A502" s="211" t="s">
        <v>880</v>
      </c>
      <c r="B502" s="209" t="s">
        <v>1979</v>
      </c>
      <c r="C502" s="209" t="s">
        <v>1984</v>
      </c>
      <c r="D502" s="209" t="s">
        <v>556</v>
      </c>
      <c r="E502" s="209" t="s">
        <v>1914</v>
      </c>
      <c r="F502" s="208">
        <v>7.0020000000000013E-3</v>
      </c>
      <c r="G502" s="208">
        <v>3.0680000000000001</v>
      </c>
      <c r="H502" s="209" t="s">
        <v>1916</v>
      </c>
      <c r="I502" s="209" t="s">
        <v>182</v>
      </c>
      <c r="J502" s="209" t="s">
        <v>1924</v>
      </c>
      <c r="K502" s="212" t="s">
        <v>2798</v>
      </c>
      <c r="L502" s="209"/>
      <c r="M502" s="208">
        <v>0</v>
      </c>
      <c r="N502" s="208">
        <v>1</v>
      </c>
      <c r="O502" s="208">
        <v>0</v>
      </c>
      <c r="P502" s="208">
        <v>1</v>
      </c>
      <c r="Q502" s="208">
        <v>0</v>
      </c>
      <c r="R502" s="208">
        <v>1</v>
      </c>
      <c r="S502" s="208">
        <v>0</v>
      </c>
      <c r="T502" s="208">
        <v>1</v>
      </c>
      <c r="U502" s="280" t="s">
        <v>1981</v>
      </c>
    </row>
    <row r="503" spans="1:21" x14ac:dyDescent="0.25">
      <c r="A503" s="211" t="s">
        <v>1619</v>
      </c>
      <c r="B503" s="209" t="s">
        <v>2548</v>
      </c>
      <c r="C503" s="209" t="s">
        <v>2549</v>
      </c>
      <c r="D503" s="209" t="s">
        <v>450</v>
      </c>
      <c r="E503" s="209" t="s">
        <v>1914</v>
      </c>
      <c r="F503" s="208">
        <v>4.0620000000000003E-2</v>
      </c>
      <c r="G503" s="208">
        <v>2.9921999999999995</v>
      </c>
      <c r="H503" s="209" t="s">
        <v>1916</v>
      </c>
      <c r="I503" s="209" t="s">
        <v>182</v>
      </c>
      <c r="J503" s="209" t="s">
        <v>1924</v>
      </c>
      <c r="K503" s="212" t="s">
        <v>2798</v>
      </c>
      <c r="L503" s="209"/>
      <c r="M503" s="208">
        <v>0</v>
      </c>
      <c r="N503" s="208">
        <v>1.0629999999999999</v>
      </c>
      <c r="O503" s="208">
        <v>3.9</v>
      </c>
      <c r="P503" s="208">
        <v>1.2</v>
      </c>
      <c r="Q503" s="208">
        <v>-3.25</v>
      </c>
      <c r="R503" s="208">
        <v>0.83333333333333337</v>
      </c>
      <c r="S503" s="208">
        <v>0</v>
      </c>
      <c r="T503" s="208">
        <v>0.94073377234242717</v>
      </c>
      <c r="U503" s="280" t="s">
        <v>2550</v>
      </c>
    </row>
    <row r="504" spans="1:21" x14ac:dyDescent="0.25">
      <c r="A504" s="211" t="s">
        <v>1696</v>
      </c>
      <c r="B504" s="209" t="s">
        <v>2551</v>
      </c>
      <c r="C504" s="209" t="s">
        <v>2559</v>
      </c>
      <c r="D504" s="209" t="s">
        <v>459</v>
      </c>
      <c r="E504" s="209" t="s">
        <v>1919</v>
      </c>
      <c r="F504" s="208">
        <v>2.0722200000000003E-2</v>
      </c>
      <c r="G504" s="208">
        <v>3.0181483000000018</v>
      </c>
      <c r="H504" s="209" t="s">
        <v>1923</v>
      </c>
      <c r="I504" s="209" t="s">
        <v>182</v>
      </c>
      <c r="J504" s="209" t="s">
        <v>1924</v>
      </c>
      <c r="K504" s="212" t="s">
        <v>2798</v>
      </c>
      <c r="L504" s="209"/>
      <c r="M504" s="208">
        <v>2.4455445544554455</v>
      </c>
      <c r="N504" s="208">
        <v>0.99009900990099009</v>
      </c>
      <c r="O504" s="208">
        <v>8.7999999999999995E-2</v>
      </c>
      <c r="P504" s="208">
        <v>1.1930000000000001</v>
      </c>
      <c r="Q504" s="208">
        <v>-0.44</v>
      </c>
      <c r="R504" s="208">
        <v>0.89</v>
      </c>
      <c r="S504" s="208">
        <v>-2.4700000000000002</v>
      </c>
      <c r="T504" s="208">
        <v>1.01</v>
      </c>
      <c r="U504" s="280" t="s">
        <v>2553</v>
      </c>
    </row>
    <row r="505" spans="1:21" x14ac:dyDescent="0.25">
      <c r="A505" s="211" t="s">
        <v>1572</v>
      </c>
      <c r="B505" s="209" t="s">
        <v>2491</v>
      </c>
      <c r="C505" s="209" t="s">
        <v>2511</v>
      </c>
      <c r="D505" s="209" t="s">
        <v>461</v>
      </c>
      <c r="E505" s="209" t="s">
        <v>1914</v>
      </c>
      <c r="F505" s="208">
        <v>1.4421613E-2</v>
      </c>
      <c r="G505" s="208">
        <v>3.0684109679999998</v>
      </c>
      <c r="H505" s="209" t="s">
        <v>1916</v>
      </c>
      <c r="I505" s="209" t="s">
        <v>182</v>
      </c>
      <c r="J505" s="209" t="s">
        <v>1924</v>
      </c>
      <c r="K505" s="212" t="s">
        <v>2798</v>
      </c>
      <c r="L505" s="209"/>
      <c r="M505" s="208">
        <v>0</v>
      </c>
      <c r="N505" s="208">
        <v>1</v>
      </c>
      <c r="O505" s="208">
        <v>0</v>
      </c>
      <c r="P505" s="208">
        <v>1.2180267965895251</v>
      </c>
      <c r="Q505" s="208">
        <v>0</v>
      </c>
      <c r="R505" s="208">
        <v>0.82099999999999995</v>
      </c>
      <c r="S505" s="208">
        <v>0</v>
      </c>
      <c r="T505" s="208">
        <v>1</v>
      </c>
      <c r="U505" s="280" t="s">
        <v>2493</v>
      </c>
    </row>
    <row r="506" spans="1:21" x14ac:dyDescent="0.25">
      <c r="A506" s="211" t="s">
        <v>1558</v>
      </c>
      <c r="B506" s="209" t="s">
        <v>2491</v>
      </c>
      <c r="C506" s="209" t="s">
        <v>2500</v>
      </c>
      <c r="D506" s="209" t="s">
        <v>461</v>
      </c>
      <c r="E506" s="209" t="s">
        <v>1914</v>
      </c>
      <c r="F506" s="208">
        <v>1.4421613E-2</v>
      </c>
      <c r="G506" s="208">
        <v>3.0684109679999998</v>
      </c>
      <c r="H506" s="209" t="s">
        <v>1916</v>
      </c>
      <c r="I506" s="209" t="s">
        <v>182</v>
      </c>
      <c r="J506" s="209" t="s">
        <v>1924</v>
      </c>
      <c r="K506" s="212" t="s">
        <v>2798</v>
      </c>
      <c r="L506" s="209"/>
      <c r="M506" s="208">
        <v>0</v>
      </c>
      <c r="N506" s="208">
        <v>1</v>
      </c>
      <c r="O506" s="208">
        <v>0</v>
      </c>
      <c r="P506" s="208">
        <v>1.2180267965895251</v>
      </c>
      <c r="Q506" s="208">
        <v>0</v>
      </c>
      <c r="R506" s="208">
        <v>0.82099999999999995</v>
      </c>
      <c r="S506" s="208">
        <v>0</v>
      </c>
      <c r="T506" s="208">
        <v>1</v>
      </c>
      <c r="U506" s="280" t="s">
        <v>2493</v>
      </c>
    </row>
    <row r="507" spans="1:21" x14ac:dyDescent="0.25">
      <c r="A507" s="211" t="s">
        <v>2410</v>
      </c>
      <c r="B507" s="209" t="s">
        <v>2411</v>
      </c>
      <c r="C507" s="209" t="s">
        <v>1911</v>
      </c>
      <c r="D507" s="209" t="s">
        <v>463</v>
      </c>
      <c r="E507" s="209" t="s">
        <v>1914</v>
      </c>
      <c r="F507" s="208">
        <v>7.7399999999999995E-3</v>
      </c>
      <c r="G507" s="208">
        <v>3.1273666666666666</v>
      </c>
      <c r="H507" s="209" t="s">
        <v>1916</v>
      </c>
      <c r="I507" s="209" t="s">
        <v>182</v>
      </c>
      <c r="J507" s="209" t="s">
        <v>1924</v>
      </c>
      <c r="K507" s="212" t="s">
        <v>2798</v>
      </c>
      <c r="L507" s="209"/>
      <c r="M507" s="208">
        <v>0</v>
      </c>
      <c r="N507" s="208">
        <v>1.0069999999999999</v>
      </c>
      <c r="O507" s="208">
        <v>0</v>
      </c>
      <c r="P507" s="208">
        <v>1.163</v>
      </c>
      <c r="Q507" s="208">
        <v>0</v>
      </c>
      <c r="R507" s="208">
        <v>0.85984522785898532</v>
      </c>
      <c r="S507" s="208">
        <v>0</v>
      </c>
      <c r="T507" s="208">
        <v>0.99304865938430997</v>
      </c>
      <c r="U507" s="280" t="s">
        <v>2412</v>
      </c>
    </row>
    <row r="508" spans="1:21" x14ac:dyDescent="0.25">
      <c r="A508" s="211" t="s">
        <v>2417</v>
      </c>
      <c r="B508" s="209" t="s">
        <v>2411</v>
      </c>
      <c r="C508" s="209" t="s">
        <v>2418</v>
      </c>
      <c r="D508" s="209" t="s">
        <v>463</v>
      </c>
      <c r="E508" s="209" t="s">
        <v>1914</v>
      </c>
      <c r="F508" s="208">
        <v>7.7399999999999995E-3</v>
      </c>
      <c r="G508" s="208">
        <v>3.1273666666666666</v>
      </c>
      <c r="H508" s="209" t="s">
        <v>1916</v>
      </c>
      <c r="I508" s="209" t="s">
        <v>182</v>
      </c>
      <c r="J508" s="209" t="s">
        <v>1924</v>
      </c>
      <c r="K508" s="212" t="s">
        <v>2798</v>
      </c>
      <c r="L508" s="209"/>
      <c r="M508" s="208">
        <v>0</v>
      </c>
      <c r="N508" s="208">
        <v>1.0069999999999999</v>
      </c>
      <c r="O508" s="208">
        <v>0</v>
      </c>
      <c r="P508" s="208">
        <v>1.163</v>
      </c>
      <c r="Q508" s="208">
        <v>0</v>
      </c>
      <c r="R508" s="208">
        <v>0.85984522785898532</v>
      </c>
      <c r="S508" s="208">
        <v>0</v>
      </c>
      <c r="T508" s="208">
        <v>0.99304865938430997</v>
      </c>
      <c r="U508" s="280" t="s">
        <v>2412</v>
      </c>
    </row>
    <row r="509" spans="1:21" x14ac:dyDescent="0.25">
      <c r="A509" s="211" t="s">
        <v>1365</v>
      </c>
      <c r="B509" s="209" t="s">
        <v>2411</v>
      </c>
      <c r="C509" s="209" t="s">
        <v>2413</v>
      </c>
      <c r="D509" s="209" t="s">
        <v>463</v>
      </c>
      <c r="E509" s="209" t="s">
        <v>1914</v>
      </c>
      <c r="F509" s="208">
        <v>7.7399999999999995E-3</v>
      </c>
      <c r="G509" s="208">
        <v>3.1273666666666666</v>
      </c>
      <c r="H509" s="209" t="s">
        <v>1916</v>
      </c>
      <c r="I509" s="209" t="s">
        <v>182</v>
      </c>
      <c r="J509" s="209" t="s">
        <v>1924</v>
      </c>
      <c r="K509" s="212" t="s">
        <v>2798</v>
      </c>
      <c r="L509" s="209"/>
      <c r="M509" s="208">
        <v>0</v>
      </c>
      <c r="N509" s="208">
        <v>1.0069999999999999</v>
      </c>
      <c r="O509" s="208">
        <v>0</v>
      </c>
      <c r="P509" s="208">
        <v>1.163</v>
      </c>
      <c r="Q509" s="208">
        <v>0</v>
      </c>
      <c r="R509" s="208">
        <v>0.85984522785898532</v>
      </c>
      <c r="S509" s="208">
        <v>0</v>
      </c>
      <c r="T509" s="208">
        <v>0.99304865938430997</v>
      </c>
      <c r="U509" s="280" t="s">
        <v>2412</v>
      </c>
    </row>
    <row r="510" spans="1:21" x14ac:dyDescent="0.25">
      <c r="A510" s="211" t="s">
        <v>2414</v>
      </c>
      <c r="B510" s="209" t="s">
        <v>2411</v>
      </c>
      <c r="C510" s="209" t="s">
        <v>2415</v>
      </c>
      <c r="D510" s="209" t="s">
        <v>463</v>
      </c>
      <c r="E510" s="209" t="s">
        <v>1914</v>
      </c>
      <c r="F510" s="208">
        <v>7.7399999999999995E-3</v>
      </c>
      <c r="G510" s="208">
        <v>3.1273666666666666</v>
      </c>
      <c r="H510" s="209" t="s">
        <v>1916</v>
      </c>
      <c r="I510" s="209" t="s">
        <v>182</v>
      </c>
      <c r="J510" s="209" t="s">
        <v>1924</v>
      </c>
      <c r="K510" s="212" t="s">
        <v>2798</v>
      </c>
      <c r="L510" s="209"/>
      <c r="M510" s="208">
        <v>0</v>
      </c>
      <c r="N510" s="208">
        <v>1.0069999999999999</v>
      </c>
      <c r="O510" s="208">
        <v>0</v>
      </c>
      <c r="P510" s="208">
        <v>1.163</v>
      </c>
      <c r="Q510" s="208">
        <v>0</v>
      </c>
      <c r="R510" s="208">
        <v>0.85984522785898532</v>
      </c>
      <c r="S510" s="208">
        <v>0</v>
      </c>
      <c r="T510" s="208">
        <v>0.99304865938430997</v>
      </c>
      <c r="U510" s="280" t="s">
        <v>2412</v>
      </c>
    </row>
    <row r="511" spans="1:21" x14ac:dyDescent="0.25">
      <c r="A511" s="211" t="s">
        <v>1367</v>
      </c>
      <c r="B511" s="209" t="s">
        <v>2411</v>
      </c>
      <c r="C511" s="209" t="s">
        <v>2416</v>
      </c>
      <c r="D511" s="209" t="s">
        <v>463</v>
      </c>
      <c r="E511" s="209" t="s">
        <v>1914</v>
      </c>
      <c r="F511" s="208">
        <v>7.7399999999999995E-3</v>
      </c>
      <c r="G511" s="208">
        <v>3.1273666666666666</v>
      </c>
      <c r="H511" s="209" t="s">
        <v>1916</v>
      </c>
      <c r="I511" s="209" t="s">
        <v>182</v>
      </c>
      <c r="J511" s="209" t="s">
        <v>1924</v>
      </c>
      <c r="K511" s="212" t="s">
        <v>2798</v>
      </c>
      <c r="L511" s="209"/>
      <c r="M511" s="208">
        <v>0</v>
      </c>
      <c r="N511" s="208">
        <v>1.0069999999999999</v>
      </c>
      <c r="O511" s="208">
        <v>0</v>
      </c>
      <c r="P511" s="208">
        <v>1.163</v>
      </c>
      <c r="Q511" s="208">
        <v>0</v>
      </c>
      <c r="R511" s="208">
        <v>0.85984522785898532</v>
      </c>
      <c r="S511" s="208">
        <v>0</v>
      </c>
      <c r="T511" s="208">
        <v>0.99304865938430997</v>
      </c>
      <c r="U511" s="280" t="s">
        <v>2412</v>
      </c>
    </row>
    <row r="512" spans="1:21" x14ac:dyDescent="0.25">
      <c r="A512" s="211" t="s">
        <v>1369</v>
      </c>
      <c r="B512" s="209" t="s">
        <v>2411</v>
      </c>
      <c r="C512" s="209" t="s">
        <v>2419</v>
      </c>
      <c r="D512" s="209" t="s">
        <v>463</v>
      </c>
      <c r="E512" s="209" t="s">
        <v>1914</v>
      </c>
      <c r="F512" s="208">
        <v>7.7399999999999995E-3</v>
      </c>
      <c r="G512" s="208">
        <v>3.1273666666666666</v>
      </c>
      <c r="H512" s="209" t="s">
        <v>1916</v>
      </c>
      <c r="I512" s="209" t="s">
        <v>182</v>
      </c>
      <c r="J512" s="209" t="s">
        <v>1924</v>
      </c>
      <c r="K512" s="212" t="s">
        <v>2798</v>
      </c>
      <c r="L512" s="209"/>
      <c r="M512" s="208">
        <v>0</v>
      </c>
      <c r="N512" s="208">
        <v>1.0069999999999999</v>
      </c>
      <c r="O512" s="208">
        <v>0</v>
      </c>
      <c r="P512" s="208">
        <v>1.163</v>
      </c>
      <c r="Q512" s="208">
        <v>0</v>
      </c>
      <c r="R512" s="208">
        <v>0.85984522785898532</v>
      </c>
      <c r="S512" s="208">
        <v>0</v>
      </c>
      <c r="T512" s="208">
        <v>0.99304865938430997</v>
      </c>
      <c r="U512" s="280" t="s">
        <v>2412</v>
      </c>
    </row>
    <row r="513" spans="1:21" x14ac:dyDescent="0.25">
      <c r="A513" s="211" t="s">
        <v>1464</v>
      </c>
      <c r="B513" s="209" t="s">
        <v>2449</v>
      </c>
      <c r="C513" s="209" t="s">
        <v>2464</v>
      </c>
      <c r="D513" s="209" t="s">
        <v>427</v>
      </c>
      <c r="E513" s="209" t="s">
        <v>1914</v>
      </c>
      <c r="F513" s="208">
        <v>1.6650277777777774E-2</v>
      </c>
      <c r="G513" s="208">
        <v>2.9921000000000002</v>
      </c>
      <c r="H513" s="209" t="s">
        <v>1916</v>
      </c>
      <c r="I513" s="209" t="s">
        <v>182</v>
      </c>
      <c r="J513" s="209" t="s">
        <v>1924</v>
      </c>
      <c r="K513" s="212" t="s">
        <v>2798</v>
      </c>
      <c r="L513" s="209"/>
      <c r="M513" s="208">
        <v>0</v>
      </c>
      <c r="N513" s="208">
        <v>1.0460251046025104</v>
      </c>
      <c r="O513" s="208">
        <v>0</v>
      </c>
      <c r="P513" s="208">
        <v>1.1919999999999999</v>
      </c>
      <c r="Q513" s="208">
        <v>0</v>
      </c>
      <c r="R513" s="208">
        <v>0.83892617449664431</v>
      </c>
      <c r="S513" s="208">
        <v>0</v>
      </c>
      <c r="T513" s="208">
        <v>0.95599999999999996</v>
      </c>
      <c r="U513" s="280" t="s">
        <v>2451</v>
      </c>
    </row>
    <row r="514" spans="1:21" x14ac:dyDescent="0.25">
      <c r="A514" s="211" t="s">
        <v>468</v>
      </c>
      <c r="B514" s="209" t="s">
        <v>2738</v>
      </c>
      <c r="C514" s="209" t="s">
        <v>467</v>
      </c>
      <c r="D514" s="209" t="s">
        <v>467</v>
      </c>
      <c r="E514" s="209" t="s">
        <v>1914</v>
      </c>
      <c r="F514" s="208">
        <v>2.34E-4</v>
      </c>
      <c r="G514" s="208">
        <v>2.7069999999999999</v>
      </c>
      <c r="H514" s="209" t="s">
        <v>2739</v>
      </c>
      <c r="I514" s="209" t="s">
        <v>148</v>
      </c>
      <c r="J514" s="209" t="s">
        <v>1917</v>
      </c>
      <c r="K514" s="209" t="s">
        <v>2806</v>
      </c>
      <c r="L514" s="209"/>
      <c r="M514" s="218" t="s">
        <v>147</v>
      </c>
      <c r="N514" s="218" t="s">
        <v>147</v>
      </c>
      <c r="O514" s="218" t="s">
        <v>147</v>
      </c>
      <c r="P514" s="218" t="s">
        <v>147</v>
      </c>
      <c r="Q514" s="218" t="s">
        <v>147</v>
      </c>
      <c r="R514" s="218" t="s">
        <v>147</v>
      </c>
      <c r="S514" s="218" t="s">
        <v>147</v>
      </c>
      <c r="T514" s="218" t="s">
        <v>147</v>
      </c>
      <c r="U514" s="280" t="s">
        <v>1911</v>
      </c>
    </row>
    <row r="515" spans="1:21" x14ac:dyDescent="0.25">
      <c r="A515" s="211" t="s">
        <v>2740</v>
      </c>
      <c r="B515" s="209" t="s">
        <v>2738</v>
      </c>
      <c r="C515" s="209" t="s">
        <v>467</v>
      </c>
      <c r="D515" s="209" t="s">
        <v>467</v>
      </c>
      <c r="E515" s="209" t="s">
        <v>1914</v>
      </c>
      <c r="F515" s="208">
        <v>2.34E-4</v>
      </c>
      <c r="G515" s="208">
        <v>2.7069999999999999</v>
      </c>
      <c r="H515" s="209" t="s">
        <v>2739</v>
      </c>
      <c r="I515" s="209" t="s">
        <v>148</v>
      </c>
      <c r="J515" s="209" t="s">
        <v>2809</v>
      </c>
      <c r="K515" s="209" t="s">
        <v>2806</v>
      </c>
      <c r="L515" s="209" t="s">
        <v>2790</v>
      </c>
      <c r="M515" s="218" t="s">
        <v>147</v>
      </c>
      <c r="N515" s="218" t="s">
        <v>147</v>
      </c>
      <c r="O515" s="218" t="s">
        <v>147</v>
      </c>
      <c r="P515" s="218" t="s">
        <v>147</v>
      </c>
      <c r="Q515" s="218" t="s">
        <v>147</v>
      </c>
      <c r="R515" s="218" t="s">
        <v>147</v>
      </c>
      <c r="S515" s="218" t="s">
        <v>147</v>
      </c>
      <c r="T515" s="218" t="s">
        <v>147</v>
      </c>
      <c r="U515" s="280" t="s">
        <v>1911</v>
      </c>
    </row>
    <row r="516" spans="1:21" x14ac:dyDescent="0.25">
      <c r="A516" s="211" t="s">
        <v>2736</v>
      </c>
      <c r="B516" s="209" t="s">
        <v>1911</v>
      </c>
      <c r="C516" s="209" t="s">
        <v>2737</v>
      </c>
      <c r="D516" s="209" t="s">
        <v>2733</v>
      </c>
      <c r="E516" s="209" t="s">
        <v>1914</v>
      </c>
      <c r="F516" s="208">
        <v>2.1627200000000002E-6</v>
      </c>
      <c r="G516" s="208">
        <v>3.2469999999999999</v>
      </c>
      <c r="H516" s="209" t="s">
        <v>1916</v>
      </c>
      <c r="I516" s="209" t="s">
        <v>148</v>
      </c>
      <c r="J516" s="209" t="s">
        <v>1917</v>
      </c>
      <c r="K516" s="209" t="s">
        <v>2807</v>
      </c>
      <c r="L516" s="209"/>
      <c r="M516" s="218" t="s">
        <v>147</v>
      </c>
      <c r="N516" s="218" t="s">
        <v>147</v>
      </c>
      <c r="O516" s="218" t="s">
        <v>147</v>
      </c>
      <c r="P516" s="218" t="s">
        <v>147</v>
      </c>
      <c r="Q516" s="218" t="s">
        <v>147</v>
      </c>
      <c r="R516" s="218" t="s">
        <v>147</v>
      </c>
      <c r="S516" s="218" t="s">
        <v>147</v>
      </c>
      <c r="T516" s="218" t="s">
        <v>147</v>
      </c>
      <c r="U516" s="280" t="s">
        <v>1911</v>
      </c>
    </row>
    <row r="517" spans="1:21" x14ac:dyDescent="0.25">
      <c r="A517" s="211" t="s">
        <v>2731</v>
      </c>
      <c r="B517" s="209" t="s">
        <v>1911</v>
      </c>
      <c r="C517" s="209" t="s">
        <v>2732</v>
      </c>
      <c r="D517" s="209" t="s">
        <v>2733</v>
      </c>
      <c r="E517" s="209" t="s">
        <v>1914</v>
      </c>
      <c r="F517" s="208">
        <v>8.1200000000000002E-6</v>
      </c>
      <c r="G517" s="208">
        <v>3.02</v>
      </c>
      <c r="H517" s="209" t="s">
        <v>1916</v>
      </c>
      <c r="I517" s="209" t="s">
        <v>148</v>
      </c>
      <c r="J517" s="209" t="s">
        <v>1917</v>
      </c>
      <c r="K517" s="209" t="s">
        <v>2808</v>
      </c>
      <c r="L517" s="209"/>
      <c r="M517" s="218" t="s">
        <v>147</v>
      </c>
      <c r="N517" s="218" t="s">
        <v>147</v>
      </c>
      <c r="O517" s="218" t="s">
        <v>147</v>
      </c>
      <c r="P517" s="218" t="s">
        <v>147</v>
      </c>
      <c r="Q517" s="218" t="s">
        <v>147</v>
      </c>
      <c r="R517" s="218" t="s">
        <v>147</v>
      </c>
      <c r="S517" s="218" t="s">
        <v>147</v>
      </c>
      <c r="T517" s="218" t="s">
        <v>147</v>
      </c>
      <c r="U517" s="280" t="s">
        <v>1911</v>
      </c>
    </row>
    <row r="518" spans="1:21" x14ac:dyDescent="0.25">
      <c r="A518" s="211" t="s">
        <v>2734</v>
      </c>
      <c r="B518" s="209" t="s">
        <v>1911</v>
      </c>
      <c r="C518" s="209" t="s">
        <v>2735</v>
      </c>
      <c r="D518" s="209" t="s">
        <v>2733</v>
      </c>
      <c r="E518" s="209" t="s">
        <v>1914</v>
      </c>
      <c r="F518" s="208">
        <v>6.2469999999999997E-6</v>
      </c>
      <c r="G518" s="208">
        <v>3.2896000000000001</v>
      </c>
      <c r="H518" s="209" t="s">
        <v>1916</v>
      </c>
      <c r="I518" s="209" t="s">
        <v>148</v>
      </c>
      <c r="J518" s="209" t="s">
        <v>1917</v>
      </c>
      <c r="K518" s="209" t="s">
        <v>2805</v>
      </c>
      <c r="L518" s="209"/>
      <c r="M518" s="218" t="s">
        <v>147</v>
      </c>
      <c r="N518" s="218" t="s">
        <v>147</v>
      </c>
      <c r="O518" s="218" t="s">
        <v>147</v>
      </c>
      <c r="P518" s="218" t="s">
        <v>147</v>
      </c>
      <c r="Q518" s="218" t="s">
        <v>147</v>
      </c>
      <c r="R518" s="218" t="s">
        <v>147</v>
      </c>
      <c r="S518" s="218" t="s">
        <v>147</v>
      </c>
      <c r="T518" s="218" t="s">
        <v>147</v>
      </c>
      <c r="U518" s="280" t="s">
        <v>1911</v>
      </c>
    </row>
    <row r="519" spans="1:21" x14ac:dyDescent="0.25">
      <c r="A519" s="211" t="s">
        <v>2774</v>
      </c>
      <c r="B519" s="209" t="s">
        <v>2766</v>
      </c>
      <c r="C519" s="209" t="s">
        <v>2764</v>
      </c>
      <c r="D519" s="209" t="s">
        <v>473</v>
      </c>
      <c r="E519" s="209" t="s">
        <v>1914</v>
      </c>
      <c r="F519" s="208">
        <v>0.13400000000000001</v>
      </c>
      <c r="G519" s="208">
        <v>1.9159999999999999</v>
      </c>
      <c r="H519" s="209" t="s">
        <v>1923</v>
      </c>
      <c r="I519" s="209" t="s">
        <v>182</v>
      </c>
      <c r="J519" s="209" t="s">
        <v>2105</v>
      </c>
      <c r="K519" s="209" t="s">
        <v>2799</v>
      </c>
      <c r="L519" s="209" t="s">
        <v>2793</v>
      </c>
      <c r="M519" s="208">
        <v>0</v>
      </c>
      <c r="N519" s="208">
        <v>1</v>
      </c>
      <c r="O519" s="218" t="s">
        <v>147</v>
      </c>
      <c r="P519" s="218" t="s">
        <v>147</v>
      </c>
      <c r="Q519" s="218" t="s">
        <v>147</v>
      </c>
      <c r="R519" s="218" t="s">
        <v>147</v>
      </c>
      <c r="S519" s="208">
        <v>0</v>
      </c>
      <c r="T519" s="208">
        <v>1</v>
      </c>
      <c r="U519" s="25"/>
    </row>
    <row r="520" spans="1:21" x14ac:dyDescent="0.25">
      <c r="A520" s="211" t="s">
        <v>2769</v>
      </c>
      <c r="B520" s="209" t="s">
        <v>2766</v>
      </c>
      <c r="C520" s="209" t="s">
        <v>2764</v>
      </c>
      <c r="D520" s="209" t="s">
        <v>473</v>
      </c>
      <c r="E520" s="209" t="s">
        <v>1914</v>
      </c>
      <c r="F520" s="208">
        <v>0.13400000000000001</v>
      </c>
      <c r="G520" s="208">
        <v>1.9159999999999999</v>
      </c>
      <c r="H520" s="209" t="s">
        <v>1923</v>
      </c>
      <c r="I520" s="209" t="s">
        <v>182</v>
      </c>
      <c r="J520" s="209" t="s">
        <v>2105</v>
      </c>
      <c r="K520" s="209" t="s">
        <v>2799</v>
      </c>
      <c r="L520" s="209" t="s">
        <v>2793</v>
      </c>
      <c r="M520" s="208">
        <v>0</v>
      </c>
      <c r="N520" s="208">
        <v>1</v>
      </c>
      <c r="O520" s="218" t="s">
        <v>147</v>
      </c>
      <c r="P520" s="218" t="s">
        <v>147</v>
      </c>
      <c r="Q520" s="218" t="s">
        <v>147</v>
      </c>
      <c r="R520" s="218" t="s">
        <v>147</v>
      </c>
      <c r="S520" s="208">
        <v>0</v>
      </c>
      <c r="T520" s="208">
        <v>1</v>
      </c>
      <c r="U520" s="25"/>
    </row>
    <row r="521" spans="1:21" x14ac:dyDescent="0.25">
      <c r="A521" s="211" t="s">
        <v>2775</v>
      </c>
      <c r="B521" s="209" t="s">
        <v>2776</v>
      </c>
      <c r="C521" s="209" t="s">
        <v>2764</v>
      </c>
      <c r="D521" s="209" t="s">
        <v>473</v>
      </c>
      <c r="E521" s="209" t="s">
        <v>1914</v>
      </c>
      <c r="F521" s="208">
        <v>0.13400000000000001</v>
      </c>
      <c r="G521" s="208">
        <v>1.9159999999999999</v>
      </c>
      <c r="H521" s="209" t="s">
        <v>1923</v>
      </c>
      <c r="I521" s="209" t="s">
        <v>182</v>
      </c>
      <c r="J521" s="209" t="s">
        <v>2105</v>
      </c>
      <c r="K521" s="209" t="s">
        <v>2799</v>
      </c>
      <c r="L521" s="209" t="s">
        <v>2793</v>
      </c>
      <c r="M521" s="208">
        <v>0</v>
      </c>
      <c r="N521" s="208">
        <v>1</v>
      </c>
      <c r="O521" s="218" t="s">
        <v>147</v>
      </c>
      <c r="P521" s="218" t="s">
        <v>147</v>
      </c>
      <c r="Q521" s="218" t="s">
        <v>147</v>
      </c>
      <c r="R521" s="218" t="s">
        <v>147</v>
      </c>
      <c r="S521" s="208">
        <v>0</v>
      </c>
      <c r="T521" s="208">
        <v>1</v>
      </c>
      <c r="U521" s="25"/>
    </row>
    <row r="522" spans="1:21" x14ac:dyDescent="0.25">
      <c r="A522" s="211" t="s">
        <v>2777</v>
      </c>
      <c r="B522" s="209" t="s">
        <v>2776</v>
      </c>
      <c r="C522" s="209" t="s">
        <v>2764</v>
      </c>
      <c r="D522" s="209" t="s">
        <v>473</v>
      </c>
      <c r="E522" s="209" t="s">
        <v>1914</v>
      </c>
      <c r="F522" s="208">
        <v>0.13400000000000001</v>
      </c>
      <c r="G522" s="208">
        <v>1.9159999999999999</v>
      </c>
      <c r="H522" s="209" t="s">
        <v>1923</v>
      </c>
      <c r="I522" s="209" t="s">
        <v>182</v>
      </c>
      <c r="J522" s="209" t="s">
        <v>2105</v>
      </c>
      <c r="K522" s="209" t="s">
        <v>2799</v>
      </c>
      <c r="L522" s="209" t="s">
        <v>2793</v>
      </c>
      <c r="M522" s="208">
        <v>0</v>
      </c>
      <c r="N522" s="208">
        <v>1</v>
      </c>
      <c r="O522" s="218" t="s">
        <v>147</v>
      </c>
      <c r="P522" s="218" t="s">
        <v>147</v>
      </c>
      <c r="Q522" s="218" t="s">
        <v>147</v>
      </c>
      <c r="R522" s="218" t="s">
        <v>147</v>
      </c>
      <c r="S522" s="208">
        <v>0</v>
      </c>
      <c r="T522" s="208">
        <v>1</v>
      </c>
      <c r="U522" s="25"/>
    </row>
    <row r="523" spans="1:21" x14ac:dyDescent="0.25">
      <c r="A523" s="211" t="s">
        <v>2778</v>
      </c>
      <c r="B523" s="209" t="s">
        <v>2776</v>
      </c>
      <c r="C523" s="209" t="s">
        <v>2764</v>
      </c>
      <c r="D523" s="209" t="s">
        <v>473</v>
      </c>
      <c r="E523" s="209" t="s">
        <v>1914</v>
      </c>
      <c r="F523" s="208">
        <v>0.13400000000000001</v>
      </c>
      <c r="G523" s="208">
        <v>1.9159999999999999</v>
      </c>
      <c r="H523" s="209" t="s">
        <v>1923</v>
      </c>
      <c r="I523" s="209" t="s">
        <v>182</v>
      </c>
      <c r="J523" s="209" t="s">
        <v>2105</v>
      </c>
      <c r="K523" s="209" t="s">
        <v>2799</v>
      </c>
      <c r="L523" s="209" t="s">
        <v>2793</v>
      </c>
      <c r="M523" s="208">
        <v>0</v>
      </c>
      <c r="N523" s="208">
        <v>1</v>
      </c>
      <c r="O523" s="218" t="s">
        <v>147</v>
      </c>
      <c r="P523" s="218" t="s">
        <v>147</v>
      </c>
      <c r="Q523" s="218" t="s">
        <v>147</v>
      </c>
      <c r="R523" s="218" t="s">
        <v>147</v>
      </c>
      <c r="S523" s="208">
        <v>0</v>
      </c>
      <c r="T523" s="208">
        <v>1</v>
      </c>
      <c r="U523" s="25"/>
    </row>
    <row r="524" spans="1:21" x14ac:dyDescent="0.25">
      <c r="A524" s="211" t="s">
        <v>2779</v>
      </c>
      <c r="B524" s="209" t="s">
        <v>2776</v>
      </c>
      <c r="C524" s="209" t="s">
        <v>2764</v>
      </c>
      <c r="D524" s="209" t="s">
        <v>473</v>
      </c>
      <c r="E524" s="209" t="s">
        <v>1914</v>
      </c>
      <c r="F524" s="208">
        <v>0.13400000000000001</v>
      </c>
      <c r="G524" s="208">
        <v>1.9159999999999999</v>
      </c>
      <c r="H524" s="209" t="s">
        <v>1923</v>
      </c>
      <c r="I524" s="209" t="s">
        <v>182</v>
      </c>
      <c r="J524" s="209" t="s">
        <v>2105</v>
      </c>
      <c r="K524" s="209" t="s">
        <v>2799</v>
      </c>
      <c r="L524" s="209" t="s">
        <v>2793</v>
      </c>
      <c r="M524" s="208">
        <v>0</v>
      </c>
      <c r="N524" s="208">
        <v>1</v>
      </c>
      <c r="O524" s="218" t="s">
        <v>147</v>
      </c>
      <c r="P524" s="218" t="s">
        <v>147</v>
      </c>
      <c r="Q524" s="218" t="s">
        <v>147</v>
      </c>
      <c r="R524" s="218" t="s">
        <v>147</v>
      </c>
      <c r="S524" s="208">
        <v>0</v>
      </c>
      <c r="T524" s="208">
        <v>1</v>
      </c>
      <c r="U524" s="25"/>
    </row>
    <row r="525" spans="1:21" x14ac:dyDescent="0.25">
      <c r="A525" s="211" t="s">
        <v>2780</v>
      </c>
      <c r="B525" s="209" t="s">
        <v>2776</v>
      </c>
      <c r="C525" s="209" t="s">
        <v>2764</v>
      </c>
      <c r="D525" s="209" t="s">
        <v>473</v>
      </c>
      <c r="E525" s="209" t="s">
        <v>1914</v>
      </c>
      <c r="F525" s="208">
        <v>0.13400000000000001</v>
      </c>
      <c r="G525" s="208">
        <v>1.9159999999999999</v>
      </c>
      <c r="H525" s="209" t="s">
        <v>1923</v>
      </c>
      <c r="I525" s="209" t="s">
        <v>182</v>
      </c>
      <c r="J525" s="209" t="s">
        <v>2105</v>
      </c>
      <c r="K525" s="209" t="s">
        <v>2799</v>
      </c>
      <c r="L525" s="209" t="s">
        <v>2793</v>
      </c>
      <c r="M525" s="208">
        <v>0</v>
      </c>
      <c r="N525" s="208">
        <v>1</v>
      </c>
      <c r="O525" s="218" t="s">
        <v>147</v>
      </c>
      <c r="P525" s="218" t="s">
        <v>147</v>
      </c>
      <c r="Q525" s="218" t="s">
        <v>147</v>
      </c>
      <c r="R525" s="218" t="s">
        <v>147</v>
      </c>
      <c r="S525" s="208">
        <v>0</v>
      </c>
      <c r="T525" s="208">
        <v>1</v>
      </c>
      <c r="U525" s="25"/>
    </row>
    <row r="526" spans="1:21" x14ac:dyDescent="0.25">
      <c r="A526" s="209" t="s">
        <v>2747</v>
      </c>
      <c r="B526" s="209" t="s">
        <v>2747</v>
      </c>
      <c r="C526" s="209" t="s">
        <v>2748</v>
      </c>
      <c r="D526" s="209" t="s">
        <v>473</v>
      </c>
      <c r="E526" s="209" t="s">
        <v>1914</v>
      </c>
      <c r="F526" s="208">
        <v>8.0000000000000004E-4</v>
      </c>
      <c r="G526" s="208">
        <v>2.7431000000000001</v>
      </c>
      <c r="H526" s="209" t="s">
        <v>2739</v>
      </c>
      <c r="I526" s="209" t="s">
        <v>148</v>
      </c>
      <c r="J526" s="209" t="s">
        <v>2105</v>
      </c>
      <c r="K526" s="209" t="s">
        <v>2749</v>
      </c>
      <c r="L526" s="209" t="s">
        <v>2794</v>
      </c>
      <c r="M526" s="218" t="s">
        <v>147</v>
      </c>
      <c r="N526" s="218" t="s">
        <v>147</v>
      </c>
      <c r="O526" s="218" t="s">
        <v>147</v>
      </c>
      <c r="P526" s="218" t="s">
        <v>147</v>
      </c>
      <c r="Q526" s="218" t="s">
        <v>147</v>
      </c>
      <c r="R526" s="218" t="s">
        <v>147</v>
      </c>
      <c r="S526" s="218" t="s">
        <v>147</v>
      </c>
      <c r="T526" s="218" t="s">
        <v>147</v>
      </c>
      <c r="U526" s="25"/>
    </row>
    <row r="527" spans="1:21" x14ac:dyDescent="0.25">
      <c r="A527" s="211" t="s">
        <v>2750</v>
      </c>
      <c r="B527" s="209" t="s">
        <v>2747</v>
      </c>
      <c r="C527" s="209" t="s">
        <v>2748</v>
      </c>
      <c r="D527" s="209" t="s">
        <v>473</v>
      </c>
      <c r="E527" s="209" t="s">
        <v>1914</v>
      </c>
      <c r="F527" s="208">
        <v>8.0000000000000004E-4</v>
      </c>
      <c r="G527" s="208">
        <v>2.7431000000000001</v>
      </c>
      <c r="H527" s="209" t="s">
        <v>2739</v>
      </c>
      <c r="I527" s="209" t="s">
        <v>148</v>
      </c>
      <c r="J527" s="209" t="s">
        <v>2105</v>
      </c>
      <c r="K527" s="209" t="s">
        <v>2749</v>
      </c>
      <c r="L527" s="209" t="s">
        <v>2794</v>
      </c>
      <c r="M527" s="218" t="s">
        <v>147</v>
      </c>
      <c r="N527" s="218" t="s">
        <v>147</v>
      </c>
      <c r="O527" s="218" t="s">
        <v>147</v>
      </c>
      <c r="P527" s="218" t="s">
        <v>147</v>
      </c>
      <c r="Q527" s="218" t="s">
        <v>147</v>
      </c>
      <c r="R527" s="218" t="s">
        <v>147</v>
      </c>
      <c r="S527" s="218" t="s">
        <v>147</v>
      </c>
      <c r="T527" s="218" t="s">
        <v>147</v>
      </c>
      <c r="U527" s="25"/>
    </row>
    <row r="528" spans="1:21" x14ac:dyDescent="0.25">
      <c r="A528" s="211" t="s">
        <v>2751</v>
      </c>
      <c r="B528" s="209" t="s">
        <v>2747</v>
      </c>
      <c r="C528" s="209" t="s">
        <v>2752</v>
      </c>
      <c r="D528" s="209" t="s">
        <v>473</v>
      </c>
      <c r="E528" s="209" t="s">
        <v>1914</v>
      </c>
      <c r="F528" s="208">
        <v>8.0000000000000004E-4</v>
      </c>
      <c r="G528" s="208">
        <v>2.7431000000000001</v>
      </c>
      <c r="H528" s="209" t="s">
        <v>2739</v>
      </c>
      <c r="I528" s="209" t="s">
        <v>148</v>
      </c>
      <c r="J528" s="209" t="s">
        <v>2105</v>
      </c>
      <c r="K528" s="209" t="s">
        <v>2749</v>
      </c>
      <c r="L528" s="209" t="s">
        <v>2794</v>
      </c>
      <c r="M528" s="218" t="s">
        <v>147</v>
      </c>
      <c r="N528" s="218" t="s">
        <v>147</v>
      </c>
      <c r="O528" s="218" t="s">
        <v>147</v>
      </c>
      <c r="P528" s="218" t="s">
        <v>147</v>
      </c>
      <c r="Q528" s="218" t="s">
        <v>147</v>
      </c>
      <c r="R528" s="218" t="s">
        <v>147</v>
      </c>
      <c r="S528" s="218" t="s">
        <v>147</v>
      </c>
      <c r="T528" s="218" t="s">
        <v>147</v>
      </c>
      <c r="U528" s="25"/>
    </row>
    <row r="529" spans="1:21" x14ac:dyDescent="0.25">
      <c r="A529" s="211" t="s">
        <v>2753</v>
      </c>
      <c r="B529" s="209" t="s">
        <v>2747</v>
      </c>
      <c r="C529" s="209" t="s">
        <v>2754</v>
      </c>
      <c r="D529" s="209" t="s">
        <v>473</v>
      </c>
      <c r="E529" s="209" t="s">
        <v>1914</v>
      </c>
      <c r="F529" s="208">
        <v>8.0000000000000004E-4</v>
      </c>
      <c r="G529" s="208">
        <v>2.7431000000000001</v>
      </c>
      <c r="H529" s="209" t="s">
        <v>2739</v>
      </c>
      <c r="I529" s="209" t="s">
        <v>148</v>
      </c>
      <c r="J529" s="209" t="s">
        <v>2105</v>
      </c>
      <c r="K529" s="209" t="s">
        <v>2749</v>
      </c>
      <c r="L529" s="209" t="s">
        <v>2794</v>
      </c>
      <c r="M529" s="218" t="s">
        <v>147</v>
      </c>
      <c r="N529" s="218" t="s">
        <v>147</v>
      </c>
      <c r="O529" s="218" t="s">
        <v>147</v>
      </c>
      <c r="P529" s="218" t="s">
        <v>147</v>
      </c>
      <c r="Q529" s="218" t="s">
        <v>147</v>
      </c>
      <c r="R529" s="218" t="s">
        <v>147</v>
      </c>
      <c r="S529" s="218" t="s">
        <v>147</v>
      </c>
      <c r="T529" s="218" t="s">
        <v>147</v>
      </c>
      <c r="U529" s="25"/>
    </row>
    <row r="530" spans="1:21" x14ac:dyDescent="0.25">
      <c r="A530" s="211" t="s">
        <v>2763</v>
      </c>
      <c r="B530" s="209" t="s">
        <v>1911</v>
      </c>
      <c r="C530" s="209" t="s">
        <v>2764</v>
      </c>
      <c r="D530" s="209" t="s">
        <v>473</v>
      </c>
      <c r="E530" s="209" t="s">
        <v>1914</v>
      </c>
      <c r="F530" s="208">
        <v>0.13400000000000001</v>
      </c>
      <c r="G530" s="208">
        <v>1.9159999999999999</v>
      </c>
      <c r="H530" s="209" t="s">
        <v>1923</v>
      </c>
      <c r="I530" s="209" t="s">
        <v>182</v>
      </c>
      <c r="J530" s="209" t="s">
        <v>2105</v>
      </c>
      <c r="K530" s="209" t="s">
        <v>2749</v>
      </c>
      <c r="L530" s="209" t="s">
        <v>2793</v>
      </c>
      <c r="M530" s="208">
        <v>0</v>
      </c>
      <c r="N530" s="208">
        <v>1</v>
      </c>
      <c r="O530" s="218" t="s">
        <v>147</v>
      </c>
      <c r="P530" s="218" t="s">
        <v>147</v>
      </c>
      <c r="Q530" s="218" t="s">
        <v>147</v>
      </c>
      <c r="R530" s="218" t="s">
        <v>147</v>
      </c>
      <c r="S530" s="208">
        <v>0</v>
      </c>
      <c r="T530" s="208">
        <v>1</v>
      </c>
      <c r="U530" s="280"/>
    </row>
    <row r="531" spans="1:21" x14ac:dyDescent="0.25">
      <c r="A531" s="211" t="s">
        <v>2721</v>
      </c>
      <c r="B531" s="209" t="s">
        <v>2722</v>
      </c>
      <c r="C531" s="209" t="s">
        <v>2723</v>
      </c>
      <c r="D531" s="209" t="s">
        <v>473</v>
      </c>
      <c r="E531" s="209" t="s">
        <v>1914</v>
      </c>
      <c r="F531" s="208">
        <v>1.7000000000000001E-2</v>
      </c>
      <c r="G531" s="208">
        <v>2.786</v>
      </c>
      <c r="H531" s="209" t="s">
        <v>1916</v>
      </c>
      <c r="I531" s="209" t="s">
        <v>182</v>
      </c>
      <c r="J531" s="209" t="s">
        <v>2105</v>
      </c>
      <c r="K531" s="209" t="s">
        <v>2801</v>
      </c>
      <c r="L531" s="209" t="s">
        <v>2795</v>
      </c>
      <c r="M531" s="218" t="s">
        <v>147</v>
      </c>
      <c r="N531" s="218" t="s">
        <v>147</v>
      </c>
      <c r="O531" s="218" t="s">
        <v>147</v>
      </c>
      <c r="P531" s="218" t="s">
        <v>147</v>
      </c>
      <c r="Q531" s="218" t="s">
        <v>147</v>
      </c>
      <c r="R531" s="218" t="s">
        <v>147</v>
      </c>
      <c r="S531" s="218" t="s">
        <v>147</v>
      </c>
      <c r="T531" s="218" t="s">
        <v>147</v>
      </c>
      <c r="U531" s="280"/>
    </row>
    <row r="532" spans="1:21" x14ac:dyDescent="0.25">
      <c r="A532" s="211" t="s">
        <v>2724</v>
      </c>
      <c r="B532" s="209" t="s">
        <v>2722</v>
      </c>
      <c r="C532" s="209" t="s">
        <v>2723</v>
      </c>
      <c r="D532" s="209" t="s">
        <v>473</v>
      </c>
      <c r="E532" s="209" t="s">
        <v>1914</v>
      </c>
      <c r="F532" s="208">
        <v>1.7000000000000001E-2</v>
      </c>
      <c r="G532" s="208">
        <v>2.786</v>
      </c>
      <c r="H532" s="209" t="s">
        <v>1916</v>
      </c>
      <c r="I532" s="209" t="s">
        <v>182</v>
      </c>
      <c r="J532" s="209" t="s">
        <v>2105</v>
      </c>
      <c r="K532" s="209" t="s">
        <v>2801</v>
      </c>
      <c r="L532" s="209" t="s">
        <v>2795</v>
      </c>
      <c r="M532" s="218" t="s">
        <v>147</v>
      </c>
      <c r="N532" s="218" t="s">
        <v>147</v>
      </c>
      <c r="O532" s="218" t="s">
        <v>147</v>
      </c>
      <c r="P532" s="218" t="s">
        <v>147</v>
      </c>
      <c r="Q532" s="218" t="s">
        <v>147</v>
      </c>
      <c r="R532" s="218" t="s">
        <v>147</v>
      </c>
      <c r="S532" s="218" t="s">
        <v>147</v>
      </c>
      <c r="T532" s="218" t="s">
        <v>147</v>
      </c>
      <c r="U532" s="280"/>
    </row>
    <row r="533" spans="1:21" x14ac:dyDescent="0.25">
      <c r="A533" s="211" t="s">
        <v>2725</v>
      </c>
      <c r="B533" s="209" t="s">
        <v>2722</v>
      </c>
      <c r="C533" s="209" t="s">
        <v>2723</v>
      </c>
      <c r="D533" s="209" t="s">
        <v>473</v>
      </c>
      <c r="E533" s="209" t="s">
        <v>1914</v>
      </c>
      <c r="F533" s="208">
        <v>1.7000000000000001E-2</v>
      </c>
      <c r="G533" s="208">
        <v>2.786</v>
      </c>
      <c r="H533" s="209" t="s">
        <v>1916</v>
      </c>
      <c r="I533" s="209" t="s">
        <v>182</v>
      </c>
      <c r="J533" s="209" t="s">
        <v>2105</v>
      </c>
      <c r="K533" s="209" t="s">
        <v>2801</v>
      </c>
      <c r="L533" s="209" t="s">
        <v>2795</v>
      </c>
      <c r="M533" s="218" t="s">
        <v>147</v>
      </c>
      <c r="N533" s="218" t="s">
        <v>147</v>
      </c>
      <c r="O533" s="218" t="s">
        <v>147</v>
      </c>
      <c r="P533" s="218" t="s">
        <v>147</v>
      </c>
      <c r="Q533" s="218" t="s">
        <v>147</v>
      </c>
      <c r="R533" s="218" t="s">
        <v>147</v>
      </c>
      <c r="S533" s="218" t="s">
        <v>147</v>
      </c>
      <c r="T533" s="218" t="s">
        <v>147</v>
      </c>
      <c r="U533" s="280"/>
    </row>
    <row r="534" spans="1:21" x14ac:dyDescent="0.25">
      <c r="A534" s="211" t="s">
        <v>2726</v>
      </c>
      <c r="B534" s="209" t="s">
        <v>2722</v>
      </c>
      <c r="C534" s="209" t="s">
        <v>2723</v>
      </c>
      <c r="D534" s="209" t="s">
        <v>473</v>
      </c>
      <c r="E534" s="209" t="s">
        <v>1914</v>
      </c>
      <c r="F534" s="208">
        <v>1.7000000000000001E-2</v>
      </c>
      <c r="G534" s="208">
        <v>2.786</v>
      </c>
      <c r="H534" s="209" t="s">
        <v>1916</v>
      </c>
      <c r="I534" s="209" t="s">
        <v>182</v>
      </c>
      <c r="J534" s="209" t="s">
        <v>2105</v>
      </c>
      <c r="K534" s="209" t="s">
        <v>2801</v>
      </c>
      <c r="L534" s="209" t="s">
        <v>2795</v>
      </c>
      <c r="M534" s="218" t="s">
        <v>147</v>
      </c>
      <c r="N534" s="218" t="s">
        <v>147</v>
      </c>
      <c r="O534" s="218" t="s">
        <v>147</v>
      </c>
      <c r="P534" s="218" t="s">
        <v>147</v>
      </c>
      <c r="Q534" s="218" t="s">
        <v>147</v>
      </c>
      <c r="R534" s="218" t="s">
        <v>147</v>
      </c>
      <c r="S534" s="218" t="s">
        <v>147</v>
      </c>
      <c r="T534" s="218" t="s">
        <v>147</v>
      </c>
      <c r="U534" s="280"/>
    </row>
    <row r="535" spans="1:21" x14ac:dyDescent="0.25">
      <c r="A535" s="211" t="s">
        <v>2727</v>
      </c>
      <c r="B535" s="209" t="s">
        <v>2722</v>
      </c>
      <c r="C535" s="209" t="s">
        <v>2723</v>
      </c>
      <c r="D535" s="209" t="s">
        <v>473</v>
      </c>
      <c r="E535" s="209" t="s">
        <v>1914</v>
      </c>
      <c r="F535" s="208">
        <v>1.7000000000000001E-2</v>
      </c>
      <c r="G535" s="208">
        <v>2.786</v>
      </c>
      <c r="H535" s="209" t="s">
        <v>1916</v>
      </c>
      <c r="I535" s="209" t="s">
        <v>182</v>
      </c>
      <c r="J535" s="209" t="s">
        <v>2105</v>
      </c>
      <c r="K535" s="209" t="s">
        <v>2801</v>
      </c>
      <c r="L535" s="209" t="s">
        <v>2795</v>
      </c>
      <c r="M535" s="218" t="s">
        <v>147</v>
      </c>
      <c r="N535" s="218" t="s">
        <v>147</v>
      </c>
      <c r="O535" s="218" t="s">
        <v>147</v>
      </c>
      <c r="P535" s="218" t="s">
        <v>147</v>
      </c>
      <c r="Q535" s="218" t="s">
        <v>147</v>
      </c>
      <c r="R535" s="218" t="s">
        <v>147</v>
      </c>
      <c r="S535" s="218" t="s">
        <v>147</v>
      </c>
      <c r="T535" s="218" t="s">
        <v>147</v>
      </c>
      <c r="U535" s="280"/>
    </row>
    <row r="536" spans="1:21" x14ac:dyDescent="0.25">
      <c r="A536" s="211" t="s">
        <v>2728</v>
      </c>
      <c r="B536" s="209" t="s">
        <v>2722</v>
      </c>
      <c r="C536" s="209" t="s">
        <v>2723</v>
      </c>
      <c r="D536" s="209" t="s">
        <v>473</v>
      </c>
      <c r="E536" s="209" t="s">
        <v>1914</v>
      </c>
      <c r="F536" s="208">
        <v>1.7000000000000001E-2</v>
      </c>
      <c r="G536" s="208">
        <v>2.786</v>
      </c>
      <c r="H536" s="209" t="s">
        <v>1916</v>
      </c>
      <c r="I536" s="209" t="s">
        <v>182</v>
      </c>
      <c r="J536" s="209" t="s">
        <v>2105</v>
      </c>
      <c r="K536" s="209" t="s">
        <v>2801</v>
      </c>
      <c r="L536" s="209" t="s">
        <v>2795</v>
      </c>
      <c r="M536" s="218" t="s">
        <v>147</v>
      </c>
      <c r="N536" s="218" t="s">
        <v>147</v>
      </c>
      <c r="O536" s="218" t="s">
        <v>147</v>
      </c>
      <c r="P536" s="218" t="s">
        <v>147</v>
      </c>
      <c r="Q536" s="218" t="s">
        <v>147</v>
      </c>
      <c r="R536" s="218" t="s">
        <v>147</v>
      </c>
      <c r="S536" s="218" t="s">
        <v>147</v>
      </c>
      <c r="T536" s="218" t="s">
        <v>147</v>
      </c>
      <c r="U536" s="280"/>
    </row>
    <row r="537" spans="1:21" x14ac:dyDescent="0.25">
      <c r="A537" s="211" t="s">
        <v>2792</v>
      </c>
      <c r="B537" s="209" t="s">
        <v>2722</v>
      </c>
      <c r="C537" s="209" t="s">
        <v>2723</v>
      </c>
      <c r="D537" s="209" t="s">
        <v>473</v>
      </c>
      <c r="E537" s="209" t="s">
        <v>1914</v>
      </c>
      <c r="F537" s="208">
        <v>1.7000000000000001E-2</v>
      </c>
      <c r="G537" s="208">
        <v>2.786</v>
      </c>
      <c r="H537" s="209" t="s">
        <v>1916</v>
      </c>
      <c r="I537" s="209" t="s">
        <v>182</v>
      </c>
      <c r="J537" s="209" t="s">
        <v>2105</v>
      </c>
      <c r="K537" s="209" t="s">
        <v>2801</v>
      </c>
      <c r="L537" s="209" t="s">
        <v>2795</v>
      </c>
      <c r="M537" s="218" t="s">
        <v>147</v>
      </c>
      <c r="N537" s="218" t="s">
        <v>147</v>
      </c>
      <c r="O537" s="218" t="s">
        <v>147</v>
      </c>
      <c r="P537" s="218" t="s">
        <v>147</v>
      </c>
      <c r="Q537" s="218" t="s">
        <v>147</v>
      </c>
      <c r="R537" s="218" t="s">
        <v>147</v>
      </c>
      <c r="S537" s="218" t="s">
        <v>147</v>
      </c>
      <c r="T537" s="218" t="s">
        <v>147</v>
      </c>
      <c r="U537" s="280"/>
    </row>
    <row r="538" spans="1:21" x14ac:dyDescent="0.25">
      <c r="A538" s="211" t="s">
        <v>2729</v>
      </c>
      <c r="B538" s="209" t="s">
        <v>2722</v>
      </c>
      <c r="C538" s="209" t="s">
        <v>2723</v>
      </c>
      <c r="D538" s="209" t="s">
        <v>473</v>
      </c>
      <c r="E538" s="209" t="s">
        <v>1914</v>
      </c>
      <c r="F538" s="208">
        <v>1.7000000000000001E-2</v>
      </c>
      <c r="G538" s="208">
        <v>2.786</v>
      </c>
      <c r="H538" s="209" t="s">
        <v>1916</v>
      </c>
      <c r="I538" s="209" t="s">
        <v>182</v>
      </c>
      <c r="J538" s="209" t="s">
        <v>2105</v>
      </c>
      <c r="K538" s="209" t="s">
        <v>2801</v>
      </c>
      <c r="L538" s="209" t="s">
        <v>2795</v>
      </c>
      <c r="M538" s="218" t="s">
        <v>147</v>
      </c>
      <c r="N538" s="218" t="s">
        <v>147</v>
      </c>
      <c r="O538" s="218" t="s">
        <v>147</v>
      </c>
      <c r="P538" s="218" t="s">
        <v>147</v>
      </c>
      <c r="Q538" s="218" t="s">
        <v>147</v>
      </c>
      <c r="R538" s="218" t="s">
        <v>147</v>
      </c>
      <c r="S538" s="218" t="s">
        <v>147</v>
      </c>
      <c r="T538" s="218" t="s">
        <v>147</v>
      </c>
      <c r="U538" s="280"/>
    </row>
    <row r="539" spans="1:21" x14ac:dyDescent="0.25">
      <c r="A539" s="211" t="s">
        <v>2730</v>
      </c>
      <c r="B539" s="209" t="s">
        <v>2722</v>
      </c>
      <c r="C539" s="209" t="s">
        <v>2723</v>
      </c>
      <c r="D539" s="209" t="s">
        <v>473</v>
      </c>
      <c r="E539" s="209" t="s">
        <v>1914</v>
      </c>
      <c r="F539" s="208">
        <v>1.7000000000000001E-2</v>
      </c>
      <c r="G539" s="208">
        <v>2.786</v>
      </c>
      <c r="H539" s="209" t="s">
        <v>1916</v>
      </c>
      <c r="I539" s="209" t="s">
        <v>182</v>
      </c>
      <c r="J539" s="209" t="s">
        <v>2105</v>
      </c>
      <c r="K539" s="209" t="s">
        <v>2801</v>
      </c>
      <c r="L539" s="209" t="s">
        <v>2795</v>
      </c>
      <c r="M539" s="218" t="s">
        <v>147</v>
      </c>
      <c r="N539" s="218" t="s">
        <v>147</v>
      </c>
      <c r="O539" s="218" t="s">
        <v>147</v>
      </c>
      <c r="P539" s="218" t="s">
        <v>147</v>
      </c>
      <c r="Q539" s="218" t="s">
        <v>147</v>
      </c>
      <c r="R539" s="218" t="s">
        <v>147</v>
      </c>
      <c r="S539" s="218" t="s">
        <v>147</v>
      </c>
      <c r="T539" s="218" t="s">
        <v>147</v>
      </c>
      <c r="U539" s="280"/>
    </row>
    <row r="540" spans="1:21" x14ac:dyDescent="0.25">
      <c r="A540" s="211" t="s">
        <v>2755</v>
      </c>
      <c r="B540" s="209" t="s">
        <v>2747</v>
      </c>
      <c r="C540" s="209" t="s">
        <v>2756</v>
      </c>
      <c r="D540" s="209" t="s">
        <v>473</v>
      </c>
      <c r="E540" s="209" t="s">
        <v>1914</v>
      </c>
      <c r="F540" s="208">
        <v>8.0000000000000004E-4</v>
      </c>
      <c r="G540" s="208">
        <v>2.7431000000000001</v>
      </c>
      <c r="H540" s="209" t="s">
        <v>2739</v>
      </c>
      <c r="I540" s="209" t="s">
        <v>148</v>
      </c>
      <c r="J540" s="209" t="s">
        <v>2105</v>
      </c>
      <c r="K540" s="209" t="s">
        <v>2749</v>
      </c>
      <c r="L540" s="209" t="s">
        <v>2794</v>
      </c>
      <c r="M540" s="218" t="s">
        <v>147</v>
      </c>
      <c r="N540" s="218" t="s">
        <v>147</v>
      </c>
      <c r="O540" s="218" t="s">
        <v>147</v>
      </c>
      <c r="P540" s="218" t="s">
        <v>147</v>
      </c>
      <c r="Q540" s="218" t="s">
        <v>147</v>
      </c>
      <c r="R540" s="218" t="s">
        <v>147</v>
      </c>
      <c r="S540" s="218" t="s">
        <v>147</v>
      </c>
      <c r="T540" s="218" t="s">
        <v>147</v>
      </c>
      <c r="U540" s="280"/>
    </row>
    <row r="541" spans="1:21" x14ac:dyDescent="0.25">
      <c r="A541" s="211" t="s">
        <v>2757</v>
      </c>
      <c r="B541" s="209" t="s">
        <v>2747</v>
      </c>
      <c r="C541" s="209" t="s">
        <v>2758</v>
      </c>
      <c r="D541" s="209" t="s">
        <v>473</v>
      </c>
      <c r="E541" s="209" t="s">
        <v>1914</v>
      </c>
      <c r="F541" s="208">
        <v>8.0000000000000004E-4</v>
      </c>
      <c r="G541" s="208">
        <v>2.7431000000000001</v>
      </c>
      <c r="H541" s="209" t="s">
        <v>2739</v>
      </c>
      <c r="I541" s="209" t="s">
        <v>148</v>
      </c>
      <c r="J541" s="209" t="s">
        <v>2105</v>
      </c>
      <c r="K541" s="209" t="s">
        <v>2749</v>
      </c>
      <c r="L541" s="209" t="s">
        <v>2794</v>
      </c>
      <c r="M541" s="218" t="s">
        <v>147</v>
      </c>
      <c r="N541" s="218" t="s">
        <v>147</v>
      </c>
      <c r="O541" s="218" t="s">
        <v>147</v>
      </c>
      <c r="P541" s="218" t="s">
        <v>147</v>
      </c>
      <c r="Q541" s="218" t="s">
        <v>147</v>
      </c>
      <c r="R541" s="218" t="s">
        <v>147</v>
      </c>
      <c r="S541" s="218" t="s">
        <v>147</v>
      </c>
      <c r="T541" s="218" t="s">
        <v>147</v>
      </c>
      <c r="U541" s="280"/>
    </row>
    <row r="542" spans="1:21" ht="26.25" customHeight="1" x14ac:dyDescent="0.25">
      <c r="A542" s="211" t="s">
        <v>2745</v>
      </c>
      <c r="B542" s="209" t="s">
        <v>2742</v>
      </c>
      <c r="C542" s="209" t="s">
        <v>2746</v>
      </c>
      <c r="D542" s="209" t="s">
        <v>473</v>
      </c>
      <c r="E542" s="209" t="s">
        <v>1914</v>
      </c>
      <c r="F542" s="208">
        <v>3.0000000000000001E-5</v>
      </c>
      <c r="G542" s="208">
        <v>3.0030000000000001</v>
      </c>
      <c r="H542" s="209" t="s">
        <v>2739</v>
      </c>
      <c r="I542" s="209" t="s">
        <v>182</v>
      </c>
      <c r="J542" s="209" t="s">
        <v>2105</v>
      </c>
      <c r="K542" s="209" t="s">
        <v>2744</v>
      </c>
      <c r="L542" s="209" t="s">
        <v>2796</v>
      </c>
      <c r="M542" s="218" t="s">
        <v>147</v>
      </c>
      <c r="N542" s="218" t="s">
        <v>147</v>
      </c>
      <c r="O542" s="218" t="s">
        <v>147</v>
      </c>
      <c r="P542" s="218" t="s">
        <v>147</v>
      </c>
      <c r="Q542" s="218" t="s">
        <v>147</v>
      </c>
      <c r="R542" s="218" t="s">
        <v>147</v>
      </c>
      <c r="S542" s="218" t="s">
        <v>147</v>
      </c>
      <c r="T542" s="218" t="s">
        <v>147</v>
      </c>
      <c r="U542" s="25"/>
    </row>
    <row r="543" spans="1:21" ht="48" customHeight="1" x14ac:dyDescent="0.25">
      <c r="A543" s="211" t="s">
        <v>2741</v>
      </c>
      <c r="B543" s="209" t="s">
        <v>2742</v>
      </c>
      <c r="C543" s="209" t="s">
        <v>2743</v>
      </c>
      <c r="D543" s="209" t="s">
        <v>473</v>
      </c>
      <c r="E543" s="209" t="s">
        <v>1914</v>
      </c>
      <c r="F543" s="208">
        <v>3.0000000000000001E-5</v>
      </c>
      <c r="G543" s="208">
        <v>3.0030000000000001</v>
      </c>
      <c r="H543" s="209" t="s">
        <v>1923</v>
      </c>
      <c r="I543" s="209" t="s">
        <v>182</v>
      </c>
      <c r="J543" s="209" t="s">
        <v>2105</v>
      </c>
      <c r="K543" s="209" t="s">
        <v>2803</v>
      </c>
      <c r="L543" s="213" t="s">
        <v>2804</v>
      </c>
      <c r="M543" s="208">
        <v>0</v>
      </c>
      <c r="N543" s="208">
        <v>1</v>
      </c>
      <c r="O543" s="218" t="s">
        <v>147</v>
      </c>
      <c r="P543" s="218" t="s">
        <v>147</v>
      </c>
      <c r="Q543" s="218" t="s">
        <v>147</v>
      </c>
      <c r="R543" s="218" t="s">
        <v>147</v>
      </c>
      <c r="S543" s="208">
        <v>0</v>
      </c>
      <c r="T543" s="208">
        <v>1</v>
      </c>
      <c r="U543" s="280"/>
    </row>
    <row r="544" spans="1:21" x14ac:dyDescent="0.25">
      <c r="A544" s="211" t="s">
        <v>2770</v>
      </c>
      <c r="B544" s="209" t="s">
        <v>2766</v>
      </c>
      <c r="C544" s="209" t="s">
        <v>2771</v>
      </c>
      <c r="D544" s="209" t="s">
        <v>473</v>
      </c>
      <c r="E544" s="209" t="s">
        <v>1914</v>
      </c>
      <c r="F544" s="208">
        <v>0.13400000000000001</v>
      </c>
      <c r="G544" s="208">
        <v>1.9159999999999999</v>
      </c>
      <c r="H544" s="209" t="s">
        <v>1923</v>
      </c>
      <c r="I544" s="209" t="s">
        <v>182</v>
      </c>
      <c r="J544" s="209" t="s">
        <v>2105</v>
      </c>
      <c r="K544" s="209" t="s">
        <v>2800</v>
      </c>
      <c r="L544" s="209" t="s">
        <v>2793</v>
      </c>
      <c r="M544" s="208">
        <v>0</v>
      </c>
      <c r="N544" s="208">
        <v>1</v>
      </c>
      <c r="O544" s="218" t="s">
        <v>147</v>
      </c>
      <c r="P544" s="218" t="s">
        <v>147</v>
      </c>
      <c r="Q544" s="218" t="s">
        <v>147</v>
      </c>
      <c r="R544" s="218" t="s">
        <v>147</v>
      </c>
      <c r="S544" s="208">
        <v>0</v>
      </c>
      <c r="T544" s="208">
        <v>1</v>
      </c>
      <c r="U544" s="280"/>
    </row>
    <row r="545" spans="1:21" x14ac:dyDescent="0.25">
      <c r="A545" s="211" t="s">
        <v>2759</v>
      </c>
      <c r="B545" s="209" t="s">
        <v>2760</v>
      </c>
      <c r="C545" s="209" t="s">
        <v>2761</v>
      </c>
      <c r="D545" s="209" t="s">
        <v>2762</v>
      </c>
      <c r="E545" s="209" t="s">
        <v>1914</v>
      </c>
      <c r="F545" s="208">
        <v>2.24E-2</v>
      </c>
      <c r="G545" s="208">
        <v>2.8776999999999999</v>
      </c>
      <c r="H545" s="209" t="s">
        <v>1911</v>
      </c>
      <c r="I545" s="209" t="s">
        <v>182</v>
      </c>
      <c r="J545" s="209" t="s">
        <v>2105</v>
      </c>
      <c r="K545" s="209" t="s">
        <v>2802</v>
      </c>
      <c r="L545" s="209" t="s">
        <v>2797</v>
      </c>
      <c r="M545" s="218" t="s">
        <v>147</v>
      </c>
      <c r="N545" s="218" t="s">
        <v>147</v>
      </c>
      <c r="O545" s="218" t="s">
        <v>147</v>
      </c>
      <c r="P545" s="218" t="s">
        <v>147</v>
      </c>
      <c r="Q545" s="218" t="s">
        <v>147</v>
      </c>
      <c r="R545" s="218" t="s">
        <v>147</v>
      </c>
      <c r="S545" s="218" t="s">
        <v>147</v>
      </c>
      <c r="T545" s="218" t="s">
        <v>147</v>
      </c>
      <c r="U545" s="25"/>
    </row>
    <row r="546" spans="1:21" x14ac:dyDescent="0.25">
      <c r="A546" s="211" t="s">
        <v>2765</v>
      </c>
      <c r="B546" s="209" t="s">
        <v>2766</v>
      </c>
      <c r="C546" s="209" t="s">
        <v>2764</v>
      </c>
      <c r="D546" s="209" t="s">
        <v>473</v>
      </c>
      <c r="E546" s="209" t="s">
        <v>1914</v>
      </c>
      <c r="F546" s="208">
        <v>0.13400000000000001</v>
      </c>
      <c r="G546" s="208">
        <v>1.9159999999999999</v>
      </c>
      <c r="H546" s="209" t="s">
        <v>1923</v>
      </c>
      <c r="I546" s="209" t="s">
        <v>182</v>
      </c>
      <c r="J546" s="209" t="s">
        <v>2105</v>
      </c>
      <c r="K546" s="209" t="s">
        <v>2800</v>
      </c>
      <c r="L546" s="209" t="s">
        <v>2793</v>
      </c>
      <c r="M546" s="208">
        <v>0</v>
      </c>
      <c r="N546" s="208">
        <v>1</v>
      </c>
      <c r="O546" s="218" t="s">
        <v>147</v>
      </c>
      <c r="P546" s="218" t="s">
        <v>147</v>
      </c>
      <c r="Q546" s="218" t="s">
        <v>147</v>
      </c>
      <c r="R546" s="218" t="s">
        <v>147</v>
      </c>
      <c r="S546" s="208">
        <v>0</v>
      </c>
      <c r="T546" s="208">
        <v>1</v>
      </c>
      <c r="U546" s="280"/>
    </row>
    <row r="547" spans="1:21" x14ac:dyDescent="0.25">
      <c r="A547" s="211" t="s">
        <v>2767</v>
      </c>
      <c r="B547" s="209" t="s">
        <v>2766</v>
      </c>
      <c r="C547" s="209" t="s">
        <v>2764</v>
      </c>
      <c r="D547" s="209" t="s">
        <v>473</v>
      </c>
      <c r="E547" s="209" t="s">
        <v>1914</v>
      </c>
      <c r="F547" s="208">
        <v>0.13400000000000001</v>
      </c>
      <c r="G547" s="208">
        <v>1.9159999999999999</v>
      </c>
      <c r="H547" s="209" t="s">
        <v>1923</v>
      </c>
      <c r="I547" s="209" t="s">
        <v>182</v>
      </c>
      <c r="J547" s="209" t="s">
        <v>2105</v>
      </c>
      <c r="K547" s="209" t="s">
        <v>2800</v>
      </c>
      <c r="L547" s="209" t="s">
        <v>2793</v>
      </c>
      <c r="M547" s="208">
        <v>0</v>
      </c>
      <c r="N547" s="208">
        <v>1</v>
      </c>
      <c r="O547" s="218" t="s">
        <v>147</v>
      </c>
      <c r="P547" s="218" t="s">
        <v>147</v>
      </c>
      <c r="Q547" s="218" t="s">
        <v>147</v>
      </c>
      <c r="R547" s="218" t="s">
        <v>147</v>
      </c>
      <c r="S547" s="208">
        <v>0</v>
      </c>
      <c r="T547" s="208">
        <v>1</v>
      </c>
      <c r="U547" s="280"/>
    </row>
    <row r="548" spans="1:21" x14ac:dyDescent="0.25">
      <c r="A548" s="211" t="s">
        <v>2768</v>
      </c>
      <c r="B548" s="209" t="s">
        <v>2766</v>
      </c>
      <c r="C548" s="209" t="s">
        <v>2764</v>
      </c>
      <c r="D548" s="209" t="s">
        <v>473</v>
      </c>
      <c r="E548" s="209" t="s">
        <v>1914</v>
      </c>
      <c r="F548" s="208">
        <v>0.13400000000000001</v>
      </c>
      <c r="G548" s="208">
        <v>1.9159999999999999</v>
      </c>
      <c r="H548" s="209" t="s">
        <v>1923</v>
      </c>
      <c r="I548" s="209" t="s">
        <v>182</v>
      </c>
      <c r="J548" s="209" t="s">
        <v>2105</v>
      </c>
      <c r="K548" s="209" t="s">
        <v>2800</v>
      </c>
      <c r="L548" s="209" t="s">
        <v>2793</v>
      </c>
      <c r="M548" s="208">
        <v>0</v>
      </c>
      <c r="N548" s="208">
        <v>1</v>
      </c>
      <c r="O548" s="218" t="s">
        <v>147</v>
      </c>
      <c r="P548" s="218" t="s">
        <v>147</v>
      </c>
      <c r="Q548" s="218" t="s">
        <v>147</v>
      </c>
      <c r="R548" s="218" t="s">
        <v>147</v>
      </c>
      <c r="S548" s="208">
        <v>0</v>
      </c>
      <c r="T548" s="208">
        <v>1</v>
      </c>
      <c r="U548" s="280"/>
    </row>
    <row r="549" spans="1:21" x14ac:dyDescent="0.25">
      <c r="A549" s="211" t="s">
        <v>2772</v>
      </c>
      <c r="B549" s="209" t="s">
        <v>2766</v>
      </c>
      <c r="C549" s="209" t="s">
        <v>2764</v>
      </c>
      <c r="D549" s="209" t="s">
        <v>473</v>
      </c>
      <c r="E549" s="209" t="s">
        <v>1914</v>
      </c>
      <c r="F549" s="208">
        <v>0.13400000000000001</v>
      </c>
      <c r="G549" s="208">
        <v>1.9159999999999999</v>
      </c>
      <c r="H549" s="209" t="s">
        <v>1923</v>
      </c>
      <c r="I549" s="209" t="s">
        <v>182</v>
      </c>
      <c r="J549" s="209" t="s">
        <v>2105</v>
      </c>
      <c r="K549" s="209" t="s">
        <v>2800</v>
      </c>
      <c r="L549" s="209" t="s">
        <v>2793</v>
      </c>
      <c r="M549" s="208">
        <v>0</v>
      </c>
      <c r="N549" s="208">
        <v>1</v>
      </c>
      <c r="O549" s="218" t="s">
        <v>147</v>
      </c>
      <c r="P549" s="218" t="s">
        <v>147</v>
      </c>
      <c r="Q549" s="218" t="s">
        <v>147</v>
      </c>
      <c r="R549" s="218" t="s">
        <v>147</v>
      </c>
      <c r="S549" s="208">
        <v>0</v>
      </c>
      <c r="T549" s="208">
        <v>1</v>
      </c>
      <c r="U549" s="280"/>
    </row>
    <row r="550" spans="1:21" ht="15.75" thickBot="1" x14ac:dyDescent="0.3">
      <c r="A550" s="214" t="s">
        <v>2773</v>
      </c>
      <c r="B550" s="215" t="s">
        <v>2766</v>
      </c>
      <c r="C550" s="215" t="s">
        <v>2764</v>
      </c>
      <c r="D550" s="215" t="s">
        <v>473</v>
      </c>
      <c r="E550" s="215" t="s">
        <v>1914</v>
      </c>
      <c r="F550" s="216">
        <v>0.13400000000000001</v>
      </c>
      <c r="G550" s="216">
        <v>1.9159999999999999</v>
      </c>
      <c r="H550" s="215" t="s">
        <v>1923</v>
      </c>
      <c r="I550" s="215" t="s">
        <v>182</v>
      </c>
      <c r="J550" s="215" t="s">
        <v>2105</v>
      </c>
      <c r="K550" s="215" t="s">
        <v>2800</v>
      </c>
      <c r="L550" s="215" t="s">
        <v>2793</v>
      </c>
      <c r="M550" s="216">
        <v>0</v>
      </c>
      <c r="N550" s="216">
        <v>1</v>
      </c>
      <c r="O550" s="283" t="s">
        <v>147</v>
      </c>
      <c r="P550" s="283" t="s">
        <v>147</v>
      </c>
      <c r="Q550" s="283" t="s">
        <v>147</v>
      </c>
      <c r="R550" s="283" t="s">
        <v>147</v>
      </c>
      <c r="S550" s="216">
        <v>0</v>
      </c>
      <c r="T550" s="216">
        <v>1</v>
      </c>
      <c r="U550" s="217"/>
    </row>
    <row r="551" spans="1:21" x14ac:dyDescent="0.25">
      <c r="A551" s="197"/>
      <c r="B551" s="198"/>
      <c r="C551" s="201"/>
      <c r="D551" s="198"/>
      <c r="E551" s="201"/>
      <c r="F551" s="207"/>
      <c r="G551" s="207"/>
      <c r="H551" s="201"/>
      <c r="I551" s="201"/>
      <c r="J551" s="201"/>
      <c r="K551" s="201"/>
      <c r="L551" s="201"/>
      <c r="M551" s="205"/>
      <c r="N551" s="205"/>
      <c r="O551" s="205"/>
    </row>
    <row r="552" spans="1:21" x14ac:dyDescent="0.25">
      <c r="A552" s="197"/>
      <c r="B552" s="198"/>
      <c r="C552" s="201"/>
      <c r="D552" s="198"/>
      <c r="E552" s="201"/>
      <c r="F552" s="207"/>
      <c r="G552" s="207"/>
      <c r="H552" s="201"/>
      <c r="I552" s="201"/>
      <c r="J552" s="201"/>
      <c r="K552" s="201"/>
      <c r="L552" s="201"/>
      <c r="M552" s="205"/>
      <c r="N552" s="205"/>
      <c r="O552" s="205"/>
    </row>
    <row r="553" spans="1:21" x14ac:dyDescent="0.25">
      <c r="A553" s="197"/>
      <c r="B553" s="198"/>
      <c r="C553" s="201"/>
      <c r="D553" s="198"/>
      <c r="E553" s="201"/>
      <c r="F553" s="207"/>
      <c r="G553" s="207"/>
      <c r="H553" s="201"/>
      <c r="I553" s="201"/>
      <c r="J553" s="201"/>
      <c r="K553" s="204"/>
      <c r="L553" s="198"/>
      <c r="M553" s="205"/>
      <c r="N553" s="205"/>
      <c r="O553" s="205"/>
    </row>
    <row r="554" spans="1:21" x14ac:dyDescent="0.25">
      <c r="A554" s="197"/>
      <c r="B554" s="198"/>
      <c r="C554" s="201"/>
      <c r="D554" s="198"/>
      <c r="E554" s="201"/>
      <c r="F554" s="207"/>
      <c r="G554" s="207"/>
      <c r="H554" s="201"/>
      <c r="I554" s="201"/>
      <c r="J554" s="201"/>
      <c r="K554" s="195"/>
      <c r="L554" s="201"/>
      <c r="M554" s="205"/>
      <c r="N554" s="205"/>
      <c r="O554" s="205"/>
    </row>
    <row r="555" spans="1:21" x14ac:dyDescent="0.25">
      <c r="A555" s="197"/>
      <c r="B555" s="198"/>
      <c r="C555" s="201"/>
      <c r="D555" s="198"/>
      <c r="E555" s="201"/>
      <c r="F555" s="207"/>
      <c r="G555" s="207"/>
      <c r="H555" s="201"/>
      <c r="I555" s="201"/>
      <c r="J555" s="201"/>
      <c r="K555" s="195"/>
      <c r="L555" s="201"/>
      <c r="M555" s="205"/>
      <c r="N555" s="205"/>
      <c r="O555" s="205"/>
    </row>
    <row r="556" spans="1:21" x14ac:dyDescent="0.25">
      <c r="A556" s="197"/>
      <c r="B556" s="198"/>
      <c r="C556" s="201"/>
      <c r="D556" s="198"/>
      <c r="E556" s="201"/>
      <c r="F556" s="207"/>
      <c r="G556" s="207"/>
      <c r="H556" s="201"/>
      <c r="I556" s="201"/>
      <c r="J556" s="201"/>
      <c r="K556" s="195"/>
      <c r="L556" s="201"/>
      <c r="M556" s="205"/>
      <c r="N556" s="205"/>
      <c r="O556" s="205"/>
    </row>
    <row r="557" spans="1:21" x14ac:dyDescent="0.25">
      <c r="A557" s="197"/>
      <c r="B557" s="198"/>
      <c r="C557" s="201"/>
      <c r="D557" s="198"/>
      <c r="E557" s="201"/>
      <c r="F557" s="207"/>
      <c r="G557" s="207"/>
      <c r="H557" s="201"/>
      <c r="I557" s="201"/>
      <c r="J557" s="201"/>
      <c r="K557" s="195"/>
      <c r="L557" s="201"/>
      <c r="M557" s="205"/>
      <c r="N557" s="205"/>
      <c r="O557" s="205"/>
    </row>
    <row r="558" spans="1:21" x14ac:dyDescent="0.25">
      <c r="A558" s="197"/>
      <c r="B558" s="198"/>
      <c r="C558" s="201"/>
      <c r="D558" s="198"/>
      <c r="E558" s="201"/>
      <c r="F558" s="207"/>
      <c r="G558" s="207"/>
      <c r="H558" s="201"/>
      <c r="I558" s="201"/>
      <c r="J558" s="201"/>
      <c r="K558" s="195"/>
      <c r="L558" s="201"/>
      <c r="M558" s="205"/>
      <c r="N558" s="205"/>
      <c r="O558" s="205"/>
    </row>
    <row r="559" spans="1:21" x14ac:dyDescent="0.25">
      <c r="A559" s="197"/>
      <c r="B559" s="198"/>
      <c r="C559" s="201"/>
      <c r="D559" s="198"/>
      <c r="E559" s="201"/>
      <c r="F559" s="207"/>
      <c r="G559" s="207"/>
      <c r="H559" s="201"/>
      <c r="I559" s="201"/>
      <c r="J559" s="201"/>
      <c r="K559" s="195"/>
      <c r="L559" s="201"/>
      <c r="M559" s="205"/>
      <c r="N559" s="205"/>
      <c r="O559" s="205"/>
    </row>
    <row r="560" spans="1:21" x14ac:dyDescent="0.25">
      <c r="A560" s="197"/>
      <c r="B560" s="198"/>
      <c r="C560" s="201"/>
      <c r="D560" s="198"/>
      <c r="E560" s="201"/>
      <c r="F560" s="207"/>
      <c r="G560" s="207"/>
      <c r="H560" s="201"/>
      <c r="I560" s="201"/>
      <c r="J560" s="201"/>
      <c r="K560" s="195"/>
      <c r="L560" s="201"/>
      <c r="M560" s="205"/>
      <c r="N560" s="205"/>
      <c r="O560" s="205"/>
    </row>
    <row r="561" spans="1:15" x14ac:dyDescent="0.25">
      <c r="A561" s="197"/>
      <c r="B561" s="198"/>
      <c r="C561" s="201"/>
      <c r="D561" s="198"/>
      <c r="E561" s="201"/>
      <c r="F561" s="207"/>
      <c r="G561" s="207"/>
      <c r="H561" s="201"/>
      <c r="I561" s="201"/>
      <c r="J561" s="201"/>
      <c r="K561" s="195"/>
      <c r="L561" s="201"/>
      <c r="M561" s="205"/>
      <c r="N561" s="205"/>
      <c r="O561" s="205"/>
    </row>
    <row r="562" spans="1:15" x14ac:dyDescent="0.25">
      <c r="A562" s="197"/>
      <c r="B562" s="198"/>
      <c r="C562" s="201"/>
      <c r="D562" s="198"/>
      <c r="E562" s="201"/>
      <c r="F562" s="207"/>
      <c r="G562" s="207"/>
      <c r="H562" s="201"/>
      <c r="I562" s="201"/>
      <c r="J562" s="201"/>
      <c r="K562" s="195"/>
      <c r="L562" s="201"/>
      <c r="M562" s="205"/>
      <c r="N562" s="205"/>
      <c r="O562" s="205"/>
    </row>
    <row r="563" spans="1:15" x14ac:dyDescent="0.25">
      <c r="A563" s="197"/>
      <c r="B563" s="198"/>
      <c r="C563" s="201"/>
      <c r="D563" s="198"/>
      <c r="E563" s="201"/>
      <c r="F563" s="207"/>
      <c r="G563" s="207"/>
      <c r="H563" s="201"/>
      <c r="I563" s="201"/>
      <c r="J563" s="201"/>
      <c r="K563" s="195"/>
      <c r="L563" s="201"/>
      <c r="M563" s="205"/>
      <c r="N563" s="205"/>
      <c r="O563" s="205"/>
    </row>
    <row r="564" spans="1:15" x14ac:dyDescent="0.25">
      <c r="A564" s="197"/>
      <c r="B564" s="198"/>
      <c r="C564" s="201"/>
      <c r="D564" s="198"/>
      <c r="E564" s="201"/>
      <c r="F564" s="207"/>
      <c r="G564" s="207"/>
      <c r="H564" s="201"/>
      <c r="I564" s="201"/>
      <c r="J564" s="201"/>
      <c r="K564" s="201"/>
      <c r="L564" s="201"/>
      <c r="M564" s="205"/>
      <c r="N564" s="205"/>
      <c r="O564" s="205"/>
    </row>
    <row r="565" spans="1:15" x14ac:dyDescent="0.25">
      <c r="A565" s="197"/>
      <c r="B565" s="198"/>
      <c r="C565" s="201"/>
      <c r="D565" s="198"/>
      <c r="E565" s="201"/>
      <c r="F565" s="207"/>
      <c r="G565" s="207"/>
      <c r="H565" s="201"/>
      <c r="I565" s="201"/>
      <c r="J565" s="201"/>
      <c r="K565" s="201"/>
      <c r="L565" s="201"/>
      <c r="M565" s="205"/>
      <c r="N565" s="205"/>
      <c r="O565" s="205"/>
    </row>
    <row r="566" spans="1:15" x14ac:dyDescent="0.25">
      <c r="A566" s="197"/>
      <c r="B566" s="198"/>
      <c r="C566" s="201"/>
      <c r="D566" s="198"/>
      <c r="E566" s="201"/>
      <c r="F566" s="207"/>
      <c r="G566" s="207"/>
      <c r="H566" s="201"/>
      <c r="I566" s="201"/>
      <c r="J566" s="201"/>
      <c r="K566" s="201"/>
      <c r="L566" s="201"/>
      <c r="M566" s="205"/>
      <c r="N566" s="205"/>
      <c r="O566" s="205"/>
    </row>
    <row r="567" spans="1:15" x14ac:dyDescent="0.25">
      <c r="A567" s="197"/>
      <c r="B567" s="198"/>
      <c r="C567" s="199"/>
      <c r="D567" s="198"/>
      <c r="E567" s="199"/>
      <c r="F567" s="205"/>
      <c r="G567" s="205"/>
      <c r="H567" s="199"/>
      <c r="I567" s="199"/>
      <c r="J567" s="199"/>
      <c r="K567" s="199"/>
      <c r="L567" s="199"/>
      <c r="M567" s="205"/>
      <c r="N567" s="205"/>
      <c r="O567" s="205"/>
    </row>
    <row r="568" spans="1:15" x14ac:dyDescent="0.25">
      <c r="A568" s="197"/>
      <c r="B568" s="198"/>
      <c r="C568" s="199"/>
      <c r="D568" s="198"/>
      <c r="E568" s="199"/>
      <c r="F568" s="205"/>
      <c r="G568" s="205"/>
      <c r="H568" s="199"/>
      <c r="I568" s="199"/>
      <c r="J568" s="199"/>
      <c r="K568" s="199"/>
      <c r="L568" s="199"/>
      <c r="M568" s="205"/>
      <c r="N568" s="205"/>
      <c r="O568" s="205"/>
    </row>
    <row r="569" spans="1:15" x14ac:dyDescent="0.25">
      <c r="A569" s="197"/>
      <c r="B569" s="198"/>
      <c r="C569" s="199"/>
      <c r="D569" s="198"/>
      <c r="E569" s="199"/>
      <c r="F569" s="205"/>
      <c r="G569" s="205"/>
      <c r="H569" s="199"/>
      <c r="I569" s="199"/>
      <c r="J569" s="199"/>
      <c r="K569" s="199"/>
      <c r="L569" s="199"/>
      <c r="M569" s="205"/>
      <c r="N569" s="205"/>
      <c r="O569" s="205"/>
    </row>
    <row r="570" spans="1:15" x14ac:dyDescent="0.25">
      <c r="A570" s="197"/>
      <c r="B570" s="198"/>
      <c r="C570" s="199"/>
      <c r="D570" s="198"/>
      <c r="E570" s="199"/>
      <c r="F570" s="205"/>
      <c r="G570" s="205"/>
      <c r="H570" s="199"/>
      <c r="I570" s="199"/>
      <c r="J570" s="199"/>
      <c r="K570" s="199"/>
      <c r="L570" s="199"/>
      <c r="M570" s="205"/>
      <c r="N570" s="205"/>
      <c r="O570" s="205"/>
    </row>
    <row r="571" spans="1:15" x14ac:dyDescent="0.25">
      <c r="A571" s="197"/>
      <c r="B571" s="198"/>
      <c r="C571" s="199"/>
      <c r="D571" s="198"/>
      <c r="E571" s="199"/>
      <c r="F571" s="205"/>
      <c r="G571" s="205"/>
      <c r="H571" s="199"/>
      <c r="I571" s="199"/>
      <c r="J571" s="199"/>
      <c r="K571" s="199"/>
      <c r="L571" s="199"/>
      <c r="M571" s="205"/>
      <c r="N571" s="205"/>
      <c r="O571" s="205"/>
    </row>
    <row r="572" spans="1:15" x14ac:dyDescent="0.25">
      <c r="A572" s="197"/>
      <c r="B572" s="198"/>
      <c r="C572" s="199"/>
      <c r="D572" s="198"/>
      <c r="E572" s="199"/>
      <c r="F572" s="205"/>
      <c r="G572" s="205"/>
      <c r="H572" s="199"/>
      <c r="I572" s="199"/>
      <c r="J572" s="199"/>
      <c r="K572" s="199"/>
      <c r="L572" s="199"/>
      <c r="M572" s="205"/>
      <c r="N572" s="205"/>
      <c r="O572" s="205"/>
    </row>
    <row r="573" spans="1:15" x14ac:dyDescent="0.25">
      <c r="A573" s="197"/>
      <c r="B573" s="198"/>
      <c r="C573" s="199"/>
      <c r="D573" s="198"/>
      <c r="E573" s="199"/>
      <c r="F573" s="205"/>
      <c r="G573" s="205"/>
      <c r="H573" s="199"/>
      <c r="I573" s="199"/>
      <c r="J573" s="199"/>
      <c r="K573" s="199"/>
      <c r="L573" s="199"/>
      <c r="M573" s="205"/>
      <c r="N573" s="205"/>
      <c r="O573" s="205"/>
    </row>
    <row r="574" spans="1:15" x14ac:dyDescent="0.25">
      <c r="A574" s="197"/>
      <c r="B574" s="198"/>
      <c r="C574" s="199"/>
      <c r="D574" s="198"/>
      <c r="E574" s="199"/>
      <c r="F574" s="205"/>
      <c r="G574" s="205"/>
      <c r="H574" s="199"/>
      <c r="I574" s="199"/>
      <c r="J574" s="199"/>
      <c r="K574" s="199"/>
      <c r="L574" s="199"/>
      <c r="M574" s="205"/>
      <c r="N574" s="205"/>
      <c r="O574" s="205"/>
    </row>
    <row r="575" spans="1:15" x14ac:dyDescent="0.25">
      <c r="A575" s="197"/>
      <c r="B575" s="198"/>
      <c r="C575" s="201"/>
      <c r="D575" s="198"/>
      <c r="E575" s="201"/>
      <c r="F575" s="207"/>
      <c r="G575" s="207"/>
      <c r="H575" s="201"/>
      <c r="I575" s="201"/>
      <c r="J575" s="201"/>
      <c r="K575" s="201"/>
      <c r="L575" s="201"/>
      <c r="M575" s="205"/>
      <c r="N575" s="205"/>
      <c r="O575" s="205"/>
    </row>
    <row r="576" spans="1:15" x14ac:dyDescent="0.25">
      <c r="A576" s="197"/>
      <c r="B576" s="198"/>
      <c r="C576" s="199"/>
      <c r="D576" s="198"/>
      <c r="E576" s="199"/>
      <c r="F576" s="205"/>
      <c r="G576" s="205"/>
      <c r="H576" s="199"/>
      <c r="I576" s="199"/>
      <c r="J576" s="199"/>
      <c r="K576" s="199"/>
      <c r="L576" s="199"/>
      <c r="M576" s="205"/>
      <c r="N576" s="205"/>
      <c r="O576" s="205"/>
    </row>
    <row r="577" spans="1:15" x14ac:dyDescent="0.25">
      <c r="A577" s="197"/>
      <c r="B577" s="198"/>
      <c r="C577" s="199"/>
      <c r="D577" s="198"/>
      <c r="E577" s="199"/>
      <c r="F577" s="205"/>
      <c r="G577" s="205"/>
      <c r="H577" s="199"/>
      <c r="I577" s="199"/>
      <c r="J577" s="199"/>
      <c r="K577" s="199"/>
      <c r="L577" s="199"/>
      <c r="M577" s="205"/>
      <c r="N577" s="205"/>
      <c r="O577" s="205"/>
    </row>
    <row r="578" spans="1:15" x14ac:dyDescent="0.25">
      <c r="A578" s="197"/>
      <c r="B578" s="198"/>
      <c r="C578" s="199"/>
      <c r="D578" s="198"/>
      <c r="E578" s="199"/>
      <c r="F578" s="205"/>
      <c r="G578" s="205"/>
      <c r="H578" s="199"/>
      <c r="I578" s="199"/>
      <c r="J578" s="199"/>
      <c r="K578" s="199"/>
      <c r="L578" s="199"/>
      <c r="M578" s="205"/>
      <c r="N578" s="205"/>
      <c r="O578" s="205"/>
    </row>
    <row r="579" spans="1:15" x14ac:dyDescent="0.25">
      <c r="A579" s="197"/>
      <c r="B579" s="198"/>
      <c r="C579" s="199"/>
      <c r="D579" s="198"/>
      <c r="E579" s="199"/>
      <c r="F579" s="205"/>
      <c r="G579" s="205"/>
      <c r="H579" s="199"/>
      <c r="I579" s="199"/>
      <c r="J579" s="199"/>
      <c r="K579" s="199"/>
      <c r="L579" s="199"/>
      <c r="M579" s="205"/>
      <c r="N579" s="205"/>
      <c r="O579" s="205"/>
    </row>
    <row r="580" spans="1:15" x14ac:dyDescent="0.25">
      <c r="A580" s="197"/>
      <c r="B580" s="198"/>
      <c r="C580" s="199"/>
      <c r="D580" s="198"/>
      <c r="E580" s="199"/>
      <c r="F580" s="205"/>
      <c r="G580" s="205"/>
      <c r="H580" s="199"/>
      <c r="I580" s="199"/>
      <c r="J580" s="199"/>
      <c r="K580" s="199"/>
      <c r="L580" s="199"/>
      <c r="M580" s="205"/>
      <c r="N580" s="205"/>
      <c r="O580" s="205"/>
    </row>
    <row r="581" spans="1:15" x14ac:dyDescent="0.25">
      <c r="A581" s="197"/>
      <c r="B581" s="198"/>
      <c r="C581" s="199"/>
      <c r="D581" s="198"/>
      <c r="E581" s="199"/>
      <c r="F581" s="205"/>
      <c r="G581" s="205"/>
      <c r="H581" s="199"/>
      <c r="I581" s="199"/>
      <c r="J581" s="199"/>
      <c r="K581" s="199"/>
      <c r="L581" s="199"/>
      <c r="M581" s="205"/>
      <c r="N581" s="205"/>
      <c r="O581" s="205"/>
    </row>
    <row r="582" spans="1:15" x14ac:dyDescent="0.25">
      <c r="A582" s="197"/>
      <c r="B582" s="198"/>
      <c r="C582" s="199"/>
      <c r="D582" s="198"/>
      <c r="E582" s="199"/>
      <c r="F582" s="205"/>
      <c r="G582" s="205"/>
      <c r="H582" s="199"/>
      <c r="I582" s="199"/>
      <c r="J582" s="199"/>
      <c r="K582" s="199"/>
      <c r="L582" s="199"/>
      <c r="M582" s="205"/>
      <c r="N582" s="205"/>
      <c r="O582" s="205"/>
    </row>
    <row r="583" spans="1:15" x14ac:dyDescent="0.25">
      <c r="A583" s="197"/>
      <c r="B583" s="198"/>
      <c r="C583" s="199"/>
      <c r="D583" s="198"/>
      <c r="E583" s="199"/>
      <c r="F583" s="205"/>
      <c r="G583" s="205"/>
      <c r="H583" s="199"/>
      <c r="I583" s="199"/>
      <c r="J583" s="199"/>
      <c r="K583" s="199"/>
      <c r="L583" s="199"/>
      <c r="M583" s="205"/>
      <c r="N583" s="205"/>
      <c r="O583" s="205"/>
    </row>
    <row r="584" spans="1:15" x14ac:dyDescent="0.25">
      <c r="A584" s="197"/>
      <c r="B584" s="198"/>
      <c r="C584" s="199"/>
      <c r="D584" s="198"/>
      <c r="E584" s="199"/>
      <c r="F584" s="205"/>
      <c r="G584" s="205"/>
      <c r="H584" s="199"/>
      <c r="I584" s="199"/>
      <c r="J584" s="199"/>
      <c r="K584" s="199"/>
      <c r="L584" s="199"/>
      <c r="M584" s="205"/>
      <c r="N584" s="205"/>
      <c r="O584" s="205"/>
    </row>
    <row r="585" spans="1:15" x14ac:dyDescent="0.25">
      <c r="A585" s="197"/>
      <c r="B585" s="198"/>
      <c r="C585" s="199"/>
      <c r="D585" s="198"/>
      <c r="E585" s="199"/>
      <c r="F585" s="205"/>
      <c r="G585" s="205"/>
      <c r="H585" s="199"/>
      <c r="I585" s="199"/>
      <c r="J585" s="199"/>
      <c r="K585" s="199"/>
      <c r="L585" s="199"/>
      <c r="M585" s="205"/>
      <c r="N585" s="205"/>
      <c r="O585" s="205"/>
    </row>
    <row r="586" spans="1:15" x14ac:dyDescent="0.25">
      <c r="A586" s="197"/>
      <c r="B586" s="198"/>
      <c r="C586" s="199"/>
      <c r="D586" s="198"/>
      <c r="E586" s="199"/>
      <c r="F586" s="205"/>
      <c r="G586" s="205"/>
      <c r="H586" s="199"/>
      <c r="I586" s="199"/>
      <c r="J586" s="199"/>
      <c r="K586" s="199"/>
      <c r="L586" s="199"/>
      <c r="M586" s="205"/>
      <c r="N586" s="205"/>
      <c r="O586" s="205"/>
    </row>
    <row r="587" spans="1:15" x14ac:dyDescent="0.25">
      <c r="A587" s="197"/>
      <c r="B587" s="198"/>
      <c r="C587" s="199"/>
      <c r="D587" s="198"/>
      <c r="E587" s="199"/>
      <c r="F587" s="205"/>
      <c r="G587" s="205"/>
      <c r="H587" s="199"/>
      <c r="I587" s="199"/>
      <c r="J587" s="199"/>
      <c r="K587" s="199"/>
      <c r="L587" s="199"/>
      <c r="M587" s="205"/>
      <c r="N587" s="205"/>
      <c r="O587" s="205"/>
    </row>
    <row r="588" spans="1:15" x14ac:dyDescent="0.25">
      <c r="A588" s="197"/>
      <c r="B588" s="198"/>
      <c r="C588" s="199"/>
      <c r="D588" s="198"/>
      <c r="E588" s="199"/>
      <c r="F588" s="205"/>
      <c r="G588" s="205"/>
      <c r="H588" s="199"/>
      <c r="I588" s="199"/>
      <c r="J588" s="199"/>
      <c r="K588" s="199"/>
      <c r="L588" s="199"/>
      <c r="M588" s="205"/>
      <c r="N588" s="205"/>
      <c r="O588" s="205"/>
    </row>
    <row r="589" spans="1:15" x14ac:dyDescent="0.25">
      <c r="A589" s="197"/>
      <c r="B589" s="198"/>
      <c r="C589" s="199"/>
      <c r="D589" s="198"/>
      <c r="E589" s="199"/>
      <c r="F589" s="205"/>
      <c r="G589" s="205"/>
      <c r="H589" s="199"/>
      <c r="I589" s="199"/>
      <c r="J589" s="199"/>
      <c r="K589" s="199"/>
      <c r="L589" s="199"/>
      <c r="M589" s="205"/>
      <c r="N589" s="205"/>
      <c r="O589" s="205"/>
    </row>
    <row r="590" spans="1:15" x14ac:dyDescent="0.25">
      <c r="A590" s="197"/>
      <c r="B590" s="198"/>
      <c r="C590" s="199"/>
      <c r="D590" s="198"/>
      <c r="E590" s="199"/>
      <c r="F590" s="205"/>
      <c r="G590" s="205"/>
      <c r="H590" s="199"/>
      <c r="I590" s="199"/>
      <c r="J590" s="199"/>
      <c r="K590" s="199"/>
      <c r="L590" s="199"/>
      <c r="M590" s="205"/>
      <c r="N590" s="205"/>
      <c r="O590" s="205"/>
    </row>
    <row r="591" spans="1:15" x14ac:dyDescent="0.25">
      <c r="A591" s="197"/>
      <c r="B591" s="198"/>
      <c r="C591" s="201"/>
      <c r="D591" s="198"/>
      <c r="E591" s="201"/>
      <c r="F591" s="207"/>
      <c r="G591" s="207"/>
      <c r="H591" s="201"/>
      <c r="I591" s="201"/>
      <c r="J591" s="201"/>
      <c r="K591" s="201"/>
      <c r="L591" s="201"/>
      <c r="M591" s="205"/>
      <c r="N591" s="205"/>
      <c r="O591" s="205"/>
    </row>
    <row r="592" spans="1:15" x14ac:dyDescent="0.25">
      <c r="A592" s="197"/>
      <c r="B592" s="198"/>
      <c r="C592" s="201"/>
      <c r="D592" s="198"/>
      <c r="E592" s="201"/>
      <c r="F592" s="207"/>
      <c r="G592" s="207"/>
      <c r="H592" s="201"/>
      <c r="I592" s="201"/>
      <c r="J592" s="201"/>
      <c r="K592" s="201"/>
      <c r="L592" s="201"/>
      <c r="M592" s="205"/>
      <c r="N592" s="205"/>
      <c r="O592" s="205"/>
    </row>
    <row r="593" spans="1:15" x14ac:dyDescent="0.25">
      <c r="A593" s="197"/>
      <c r="B593" s="198"/>
      <c r="C593" s="201"/>
      <c r="D593" s="198"/>
      <c r="E593" s="201"/>
      <c r="F593" s="207"/>
      <c r="G593" s="207"/>
      <c r="H593" s="201"/>
      <c r="I593" s="201"/>
      <c r="J593" s="201"/>
      <c r="K593" s="201"/>
      <c r="L593" s="201"/>
      <c r="M593" s="205"/>
      <c r="N593" s="205"/>
      <c r="O593" s="205"/>
    </row>
    <row r="594" spans="1:15" x14ac:dyDescent="0.25">
      <c r="A594" s="197"/>
      <c r="B594" s="198"/>
      <c r="C594" s="201"/>
      <c r="D594" s="198"/>
      <c r="E594" s="201"/>
      <c r="F594" s="207"/>
      <c r="G594" s="207"/>
      <c r="H594" s="201"/>
      <c r="I594" s="201"/>
      <c r="J594" s="201"/>
      <c r="K594" s="201"/>
      <c r="L594" s="201"/>
      <c r="M594" s="205"/>
      <c r="N594" s="205"/>
      <c r="O594" s="205"/>
    </row>
    <row r="595" spans="1:15" x14ac:dyDescent="0.25">
      <c r="A595" s="197"/>
      <c r="B595" s="198"/>
      <c r="C595" s="199"/>
      <c r="D595" s="198"/>
      <c r="E595" s="199"/>
      <c r="F595" s="205"/>
      <c r="G595" s="205"/>
      <c r="H595" s="201"/>
      <c r="I595" s="201"/>
      <c r="J595" s="199"/>
      <c r="K595" s="199"/>
      <c r="L595" s="199"/>
      <c r="M595" s="205"/>
      <c r="N595" s="205"/>
      <c r="O595" s="205"/>
    </row>
    <row r="596" spans="1:15" x14ac:dyDescent="0.25">
      <c r="A596" s="197"/>
      <c r="B596" s="198"/>
      <c r="C596" s="201"/>
      <c r="D596" s="198"/>
      <c r="E596" s="201"/>
      <c r="F596" s="207"/>
      <c r="G596" s="207"/>
      <c r="H596" s="201"/>
      <c r="I596" s="201"/>
      <c r="J596" s="201"/>
      <c r="K596" s="201"/>
      <c r="L596" s="201"/>
      <c r="M596" s="205"/>
      <c r="N596" s="205"/>
      <c r="O596" s="205"/>
    </row>
    <row r="597" spans="1:15" x14ac:dyDescent="0.25">
      <c r="A597" s="197"/>
      <c r="B597" s="198"/>
      <c r="C597" s="201"/>
      <c r="D597" s="198"/>
      <c r="E597" s="201"/>
      <c r="F597" s="207"/>
      <c r="G597" s="207"/>
      <c r="H597" s="201"/>
      <c r="I597" s="201"/>
      <c r="J597" s="201"/>
      <c r="K597" s="201"/>
      <c r="L597" s="201"/>
      <c r="M597" s="205"/>
      <c r="N597" s="205"/>
      <c r="O597" s="205"/>
    </row>
    <row r="598" spans="1:15" x14ac:dyDescent="0.25">
      <c r="A598" s="197"/>
      <c r="B598" s="198"/>
      <c r="C598" s="201"/>
      <c r="D598" s="198"/>
      <c r="E598" s="201"/>
      <c r="F598" s="207"/>
      <c r="G598" s="207"/>
      <c r="H598" s="201"/>
      <c r="I598" s="201"/>
      <c r="J598" s="201"/>
      <c r="K598" s="201"/>
      <c r="L598" s="201"/>
      <c r="M598" s="205"/>
      <c r="N598" s="205"/>
      <c r="O598" s="205"/>
    </row>
    <row r="599" spans="1:15" x14ac:dyDescent="0.25">
      <c r="A599" s="197"/>
      <c r="B599" s="198"/>
      <c r="C599" s="201"/>
      <c r="D599" s="198"/>
      <c r="E599" s="201"/>
      <c r="F599" s="207"/>
      <c r="G599" s="207"/>
      <c r="H599" s="201"/>
      <c r="I599" s="201"/>
      <c r="J599" s="201"/>
      <c r="K599" s="201"/>
      <c r="L599" s="201"/>
      <c r="M599" s="205"/>
      <c r="N599" s="205"/>
      <c r="O599" s="205"/>
    </row>
    <row r="600" spans="1:15" x14ac:dyDescent="0.25">
      <c r="A600" s="197"/>
      <c r="B600" s="198"/>
      <c r="C600" s="201"/>
      <c r="D600" s="198"/>
      <c r="E600" s="201"/>
      <c r="F600" s="207"/>
      <c r="G600" s="207"/>
      <c r="H600" s="201"/>
      <c r="I600" s="201"/>
      <c r="J600" s="201"/>
      <c r="K600" s="201"/>
      <c r="L600" s="201"/>
      <c r="M600" s="205"/>
      <c r="N600" s="205"/>
      <c r="O600" s="205"/>
    </row>
    <row r="601" spans="1:15" x14ac:dyDescent="0.25">
      <c r="A601" s="197"/>
      <c r="B601" s="198"/>
      <c r="C601" s="201"/>
      <c r="D601" s="198"/>
      <c r="E601" s="201"/>
      <c r="F601" s="207"/>
      <c r="G601" s="207"/>
      <c r="H601" s="201"/>
      <c r="I601" s="201"/>
      <c r="J601" s="201"/>
      <c r="K601" s="201"/>
      <c r="L601" s="201"/>
      <c r="M601" s="205"/>
      <c r="N601" s="205"/>
      <c r="O601" s="205"/>
    </row>
    <row r="602" spans="1:15" x14ac:dyDescent="0.25">
      <c r="A602" s="197"/>
      <c r="B602" s="198"/>
      <c r="C602" s="201"/>
      <c r="D602" s="198"/>
      <c r="E602" s="201"/>
      <c r="F602" s="207"/>
      <c r="G602" s="207"/>
      <c r="H602" s="201"/>
      <c r="I602" s="201"/>
      <c r="J602" s="201"/>
      <c r="K602" s="201"/>
      <c r="L602" s="201"/>
      <c r="M602" s="205"/>
      <c r="N602" s="205"/>
      <c r="O602" s="205"/>
    </row>
    <row r="603" spans="1:15" x14ac:dyDescent="0.25">
      <c r="A603" s="197"/>
      <c r="B603" s="198"/>
      <c r="C603" s="201"/>
      <c r="D603" s="198"/>
      <c r="E603" s="201"/>
      <c r="F603" s="207"/>
      <c r="G603" s="207"/>
      <c r="H603" s="201"/>
      <c r="I603" s="201"/>
      <c r="J603" s="201"/>
      <c r="K603" s="201"/>
      <c r="L603" s="201"/>
      <c r="M603" s="205"/>
      <c r="N603" s="205"/>
      <c r="O603" s="205"/>
    </row>
    <row r="604" spans="1:15" x14ac:dyDescent="0.25">
      <c r="A604" s="197"/>
      <c r="B604" s="198"/>
      <c r="C604" s="201"/>
      <c r="D604" s="198"/>
      <c r="E604" s="201"/>
      <c r="F604" s="207"/>
      <c r="G604" s="207"/>
      <c r="H604" s="201"/>
      <c r="I604" s="201"/>
      <c r="J604" s="201"/>
      <c r="K604" s="201"/>
      <c r="L604" s="201"/>
      <c r="M604" s="205"/>
      <c r="N604" s="205"/>
      <c r="O604" s="205"/>
    </row>
    <row r="605" spans="1:15" x14ac:dyDescent="0.25">
      <c r="A605" s="197"/>
      <c r="B605" s="198"/>
      <c r="C605" s="201"/>
      <c r="D605" s="198"/>
      <c r="E605" s="201"/>
      <c r="F605" s="207"/>
      <c r="G605" s="207"/>
      <c r="H605" s="201"/>
      <c r="I605" s="201"/>
      <c r="J605" s="201"/>
      <c r="K605" s="201"/>
      <c r="L605" s="201"/>
      <c r="M605" s="205"/>
      <c r="N605" s="205"/>
      <c r="O605" s="205"/>
    </row>
    <row r="606" spans="1:15" x14ac:dyDescent="0.25">
      <c r="A606" s="197"/>
      <c r="B606" s="198"/>
      <c r="C606" s="201"/>
      <c r="D606" s="198"/>
      <c r="E606" s="201"/>
      <c r="F606" s="207"/>
      <c r="G606" s="207"/>
      <c r="H606" s="201"/>
      <c r="I606" s="201"/>
      <c r="J606" s="201"/>
      <c r="K606" s="201"/>
      <c r="L606" s="201"/>
      <c r="M606" s="205"/>
      <c r="N606" s="205"/>
      <c r="O606" s="205"/>
    </row>
    <row r="607" spans="1:15" x14ac:dyDescent="0.25">
      <c r="A607" s="197"/>
      <c r="B607" s="198"/>
      <c r="C607" s="201"/>
      <c r="D607" s="198"/>
      <c r="E607" s="201"/>
      <c r="F607" s="207"/>
      <c r="G607" s="207"/>
      <c r="H607" s="201"/>
      <c r="I607" s="201"/>
      <c r="J607" s="201"/>
      <c r="K607" s="201"/>
      <c r="L607" s="201"/>
      <c r="M607" s="205"/>
      <c r="N607" s="205"/>
      <c r="O607" s="205"/>
    </row>
    <row r="608" spans="1:15" x14ac:dyDescent="0.25">
      <c r="A608" s="197"/>
      <c r="B608" s="198"/>
      <c r="C608" s="201"/>
      <c r="D608" s="198"/>
      <c r="E608" s="201"/>
      <c r="F608" s="207"/>
      <c r="G608" s="207"/>
      <c r="H608" s="201"/>
      <c r="I608" s="201"/>
      <c r="J608" s="201"/>
      <c r="K608" s="201"/>
      <c r="L608" s="201"/>
      <c r="M608" s="205"/>
      <c r="N608" s="205"/>
      <c r="O608" s="205"/>
    </row>
    <row r="609" spans="1:15" x14ac:dyDescent="0.25">
      <c r="A609" s="197"/>
      <c r="B609" s="198"/>
      <c r="C609" s="201"/>
      <c r="D609" s="198"/>
      <c r="E609" s="201"/>
      <c r="F609" s="207"/>
      <c r="G609" s="207"/>
      <c r="H609" s="201"/>
      <c r="I609" s="201"/>
      <c r="J609" s="201"/>
      <c r="K609" s="201"/>
      <c r="L609" s="201"/>
      <c r="M609" s="205"/>
      <c r="N609" s="205"/>
      <c r="O609" s="205"/>
    </row>
    <row r="610" spans="1:15" x14ac:dyDescent="0.25">
      <c r="A610" s="197"/>
      <c r="B610" s="198"/>
      <c r="C610" s="201"/>
      <c r="D610" s="198"/>
      <c r="E610" s="201"/>
      <c r="F610" s="207"/>
      <c r="G610" s="207"/>
      <c r="H610" s="201"/>
      <c r="I610" s="201"/>
      <c r="J610" s="201"/>
      <c r="K610" s="201"/>
      <c r="L610" s="201"/>
      <c r="M610" s="205"/>
      <c r="N610" s="205"/>
      <c r="O610" s="205"/>
    </row>
    <row r="611" spans="1:15" x14ac:dyDescent="0.25">
      <c r="A611" s="197"/>
      <c r="B611" s="198"/>
      <c r="C611" s="201"/>
      <c r="D611" s="198"/>
      <c r="E611" s="201"/>
      <c r="F611" s="207"/>
      <c r="G611" s="207"/>
      <c r="H611" s="201"/>
      <c r="I611" s="201"/>
      <c r="J611" s="201"/>
      <c r="K611" s="201"/>
      <c r="L611" s="201"/>
      <c r="M611" s="205"/>
      <c r="N611" s="205"/>
      <c r="O611" s="205"/>
    </row>
    <row r="612" spans="1:15" x14ac:dyDescent="0.25">
      <c r="A612" s="197"/>
      <c r="B612" s="198"/>
      <c r="C612" s="201"/>
      <c r="D612" s="198"/>
      <c r="E612" s="201"/>
      <c r="F612" s="207"/>
      <c r="G612" s="207"/>
      <c r="H612" s="201"/>
      <c r="I612" s="201"/>
      <c r="J612" s="201"/>
      <c r="K612" s="201"/>
      <c r="L612" s="201"/>
      <c r="M612" s="205"/>
      <c r="N612" s="205"/>
      <c r="O612" s="205"/>
    </row>
    <row r="613" spans="1:15" x14ac:dyDescent="0.25">
      <c r="A613" s="197"/>
      <c r="B613" s="198"/>
      <c r="C613" s="201"/>
      <c r="D613" s="198"/>
      <c r="E613" s="201"/>
      <c r="F613" s="207"/>
      <c r="G613" s="207"/>
      <c r="H613" s="201"/>
      <c r="I613" s="201"/>
      <c r="J613" s="201"/>
      <c r="K613" s="201"/>
      <c r="L613" s="201"/>
      <c r="M613" s="205"/>
      <c r="N613" s="205"/>
      <c r="O613" s="205"/>
    </row>
    <row r="614" spans="1:15" x14ac:dyDescent="0.25">
      <c r="A614" s="197"/>
      <c r="B614" s="198"/>
      <c r="C614" s="201"/>
      <c r="D614" s="198"/>
      <c r="E614" s="201"/>
      <c r="F614" s="207"/>
      <c r="G614" s="207"/>
      <c r="H614" s="201"/>
      <c r="I614" s="201"/>
      <c r="J614" s="201"/>
      <c r="K614" s="201"/>
      <c r="L614" s="201"/>
      <c r="M614" s="205"/>
      <c r="N614" s="205"/>
      <c r="O614" s="205"/>
    </row>
    <row r="615" spans="1:15" x14ac:dyDescent="0.25">
      <c r="A615" s="197"/>
      <c r="B615" s="198"/>
      <c r="C615" s="201"/>
      <c r="D615" s="198"/>
      <c r="E615" s="201"/>
      <c r="F615" s="207"/>
      <c r="G615" s="207"/>
      <c r="H615" s="201"/>
      <c r="I615" s="201"/>
      <c r="J615" s="201"/>
      <c r="K615" s="201"/>
      <c r="L615" s="201"/>
      <c r="M615" s="205"/>
      <c r="N615" s="205"/>
      <c r="O615" s="205"/>
    </row>
    <row r="616" spans="1:15" x14ac:dyDescent="0.25">
      <c r="A616" s="197"/>
      <c r="B616" s="198"/>
      <c r="C616" s="201"/>
      <c r="D616" s="198"/>
      <c r="E616" s="201"/>
      <c r="F616" s="207"/>
      <c r="G616" s="207"/>
      <c r="H616" s="201"/>
      <c r="I616" s="201"/>
      <c r="J616" s="201"/>
      <c r="K616" s="201"/>
      <c r="L616" s="201"/>
      <c r="M616" s="205"/>
      <c r="N616" s="205"/>
      <c r="O616" s="205"/>
    </row>
    <row r="617" spans="1:15" x14ac:dyDescent="0.25">
      <c r="A617" s="197"/>
      <c r="B617" s="198"/>
      <c r="C617" s="201"/>
      <c r="D617" s="198"/>
      <c r="E617" s="201"/>
      <c r="F617" s="207"/>
      <c r="G617" s="207"/>
      <c r="H617" s="201"/>
      <c r="I617" s="201"/>
      <c r="J617" s="201"/>
      <c r="K617" s="201"/>
      <c r="L617" s="201"/>
      <c r="M617" s="205"/>
      <c r="N617" s="205"/>
      <c r="O617" s="205"/>
    </row>
    <row r="618" spans="1:15" x14ac:dyDescent="0.25">
      <c r="A618" s="197"/>
      <c r="B618" s="198"/>
      <c r="C618" s="201"/>
      <c r="D618" s="198"/>
      <c r="E618" s="201"/>
      <c r="F618" s="207"/>
      <c r="G618" s="207"/>
      <c r="H618" s="201"/>
      <c r="I618" s="201"/>
      <c r="J618" s="201"/>
      <c r="K618" s="201"/>
      <c r="L618" s="201"/>
      <c r="M618" s="205"/>
      <c r="N618" s="205"/>
      <c r="O618" s="205"/>
    </row>
    <row r="619" spans="1:15" x14ac:dyDescent="0.25">
      <c r="A619" s="197"/>
      <c r="B619" s="198"/>
      <c r="C619" s="201"/>
      <c r="D619" s="198"/>
      <c r="E619" s="201"/>
      <c r="F619" s="207"/>
      <c r="G619" s="207"/>
      <c r="H619" s="201"/>
      <c r="I619" s="201"/>
      <c r="J619" s="201"/>
      <c r="K619" s="201"/>
      <c r="L619" s="201"/>
      <c r="M619" s="205"/>
      <c r="N619" s="205"/>
      <c r="O619" s="205"/>
    </row>
    <row r="620" spans="1:15" x14ac:dyDescent="0.25">
      <c r="A620" s="197"/>
      <c r="B620" s="198"/>
      <c r="C620" s="201"/>
      <c r="D620" s="198"/>
      <c r="E620" s="201"/>
      <c r="F620" s="207"/>
      <c r="G620" s="207"/>
      <c r="H620" s="201"/>
      <c r="I620" s="201"/>
      <c r="J620" s="201"/>
      <c r="K620" s="201"/>
      <c r="L620" s="201"/>
      <c r="M620" s="205"/>
      <c r="N620" s="205"/>
      <c r="O620" s="205"/>
    </row>
    <row r="621" spans="1:15" x14ac:dyDescent="0.25">
      <c r="A621" s="197"/>
      <c r="B621" s="198"/>
      <c r="C621" s="201"/>
      <c r="D621" s="198"/>
      <c r="E621" s="201"/>
      <c r="F621" s="207"/>
      <c r="G621" s="207"/>
      <c r="H621" s="201"/>
      <c r="I621" s="201"/>
      <c r="J621" s="201"/>
      <c r="K621" s="201"/>
      <c r="L621" s="201"/>
      <c r="M621" s="205"/>
      <c r="N621" s="205"/>
      <c r="O621" s="205"/>
    </row>
    <row r="622" spans="1:15" x14ac:dyDescent="0.25">
      <c r="A622" s="197"/>
      <c r="B622" s="198"/>
      <c r="C622" s="201"/>
      <c r="D622" s="198"/>
      <c r="E622" s="201"/>
      <c r="F622" s="207"/>
      <c r="G622" s="207"/>
      <c r="H622" s="201"/>
      <c r="I622" s="201"/>
      <c r="J622" s="201"/>
      <c r="K622" s="201"/>
      <c r="L622" s="201"/>
      <c r="M622" s="205"/>
      <c r="N622" s="205"/>
      <c r="O622" s="205"/>
    </row>
    <row r="623" spans="1:15" x14ac:dyDescent="0.25">
      <c r="A623" s="197"/>
      <c r="B623" s="198"/>
      <c r="C623" s="201"/>
      <c r="D623" s="198"/>
      <c r="E623" s="201"/>
      <c r="F623" s="207"/>
      <c r="G623" s="207"/>
      <c r="H623" s="201"/>
      <c r="I623" s="201"/>
      <c r="J623" s="201"/>
      <c r="K623" s="201"/>
      <c r="L623" s="201"/>
      <c r="M623" s="205"/>
      <c r="N623" s="205"/>
      <c r="O623" s="205"/>
    </row>
    <row r="624" spans="1:15" x14ac:dyDescent="0.25">
      <c r="A624" s="197"/>
      <c r="B624" s="198"/>
      <c r="C624" s="201"/>
      <c r="D624" s="198"/>
      <c r="E624" s="201"/>
      <c r="F624" s="207"/>
      <c r="G624" s="207"/>
      <c r="H624" s="201"/>
      <c r="I624" s="201"/>
      <c r="J624" s="201"/>
      <c r="K624" s="201"/>
      <c r="L624" s="201"/>
      <c r="M624" s="205"/>
      <c r="N624" s="205"/>
      <c r="O624" s="205"/>
    </row>
    <row r="625" spans="1:15" x14ac:dyDescent="0.25">
      <c r="A625" s="197"/>
      <c r="B625" s="198"/>
      <c r="C625" s="201"/>
      <c r="D625" s="198"/>
      <c r="E625" s="201"/>
      <c r="F625" s="207"/>
      <c r="G625" s="207"/>
      <c r="H625" s="201"/>
      <c r="I625" s="201"/>
      <c r="J625" s="201"/>
      <c r="K625" s="201"/>
      <c r="L625" s="201"/>
      <c r="M625" s="205"/>
      <c r="N625" s="205"/>
      <c r="O625" s="205"/>
    </row>
    <row r="626" spans="1:15" x14ac:dyDescent="0.25">
      <c r="A626" s="197"/>
      <c r="B626" s="198"/>
      <c r="C626" s="201"/>
      <c r="D626" s="198"/>
      <c r="E626" s="201"/>
      <c r="F626" s="207"/>
      <c r="G626" s="207"/>
      <c r="H626" s="201"/>
      <c r="I626" s="201"/>
      <c r="J626" s="201"/>
      <c r="K626" s="201"/>
      <c r="L626" s="201"/>
      <c r="M626" s="205"/>
      <c r="N626" s="205"/>
      <c r="O626" s="205"/>
    </row>
    <row r="627" spans="1:15" x14ac:dyDescent="0.25">
      <c r="A627" s="197"/>
      <c r="B627" s="198"/>
      <c r="C627" s="201"/>
      <c r="D627" s="198"/>
      <c r="E627" s="201"/>
      <c r="F627" s="207"/>
      <c r="G627" s="207"/>
      <c r="H627" s="201"/>
      <c r="I627" s="201"/>
      <c r="J627" s="201"/>
      <c r="K627" s="201"/>
      <c r="L627" s="201"/>
      <c r="M627" s="205"/>
      <c r="N627" s="205"/>
      <c r="O627" s="205"/>
    </row>
    <row r="628" spans="1:15" x14ac:dyDescent="0.25">
      <c r="A628" s="197"/>
      <c r="B628" s="198"/>
      <c r="C628" s="201"/>
      <c r="D628" s="198"/>
      <c r="E628" s="201"/>
      <c r="F628" s="207"/>
      <c r="G628" s="207"/>
      <c r="H628" s="201"/>
      <c r="I628" s="201"/>
      <c r="J628" s="201"/>
      <c r="K628" s="201"/>
      <c r="L628" s="201"/>
      <c r="M628" s="205"/>
      <c r="N628" s="205"/>
      <c r="O628" s="205"/>
    </row>
    <row r="629" spans="1:15" x14ac:dyDescent="0.25">
      <c r="A629" s="197"/>
      <c r="B629" s="198"/>
      <c r="C629" s="201"/>
      <c r="D629" s="198"/>
      <c r="E629" s="201"/>
      <c r="F629" s="207"/>
      <c r="G629" s="207"/>
      <c r="H629" s="201"/>
      <c r="I629" s="201"/>
      <c r="J629" s="201"/>
      <c r="K629" s="201"/>
      <c r="L629" s="201"/>
      <c r="M629" s="205"/>
      <c r="N629" s="205"/>
      <c r="O629" s="205"/>
    </row>
    <row r="630" spans="1:15" x14ac:dyDescent="0.25">
      <c r="A630" s="197"/>
      <c r="B630" s="198"/>
      <c r="C630" s="199"/>
      <c r="D630" s="198"/>
      <c r="E630" s="199"/>
      <c r="F630" s="205"/>
      <c r="G630" s="205"/>
      <c r="H630" s="201"/>
      <c r="I630" s="201"/>
      <c r="J630" s="199"/>
      <c r="K630" s="199"/>
      <c r="L630" s="199"/>
      <c r="M630" s="205"/>
      <c r="N630" s="205"/>
      <c r="O630" s="205"/>
    </row>
    <row r="631" spans="1:15" x14ac:dyDescent="0.25">
      <c r="A631" s="197"/>
      <c r="B631" s="198"/>
      <c r="C631" s="199"/>
      <c r="D631" s="198"/>
      <c r="E631" s="199"/>
      <c r="F631" s="205"/>
      <c r="G631" s="205"/>
      <c r="H631" s="201"/>
      <c r="I631" s="201"/>
      <c r="J631" s="199"/>
      <c r="K631" s="199"/>
      <c r="L631" s="199"/>
      <c r="M631" s="205"/>
      <c r="N631" s="205"/>
      <c r="O631" s="205"/>
    </row>
    <row r="632" spans="1:15" x14ac:dyDescent="0.25">
      <c r="A632" s="197"/>
      <c r="B632" s="198"/>
      <c r="C632" s="199"/>
      <c r="D632" s="198"/>
      <c r="E632" s="199"/>
      <c r="F632" s="205"/>
      <c r="G632" s="205"/>
      <c r="H632" s="201"/>
      <c r="I632" s="201"/>
      <c r="J632" s="199"/>
      <c r="K632" s="199"/>
      <c r="L632" s="199"/>
      <c r="M632" s="205"/>
      <c r="N632" s="205"/>
      <c r="O632" s="205"/>
    </row>
    <row r="633" spans="1:15" x14ac:dyDescent="0.25">
      <c r="A633" s="197"/>
      <c r="B633" s="198"/>
      <c r="C633" s="199"/>
      <c r="D633" s="198"/>
      <c r="E633" s="199"/>
      <c r="F633" s="205"/>
      <c r="G633" s="205"/>
      <c r="H633" s="201"/>
      <c r="I633" s="201"/>
      <c r="J633" s="199"/>
      <c r="K633" s="199"/>
      <c r="L633" s="199"/>
      <c r="M633" s="205"/>
      <c r="N633" s="205"/>
      <c r="O633" s="205"/>
    </row>
    <row r="634" spans="1:15" x14ac:dyDescent="0.25">
      <c r="A634" s="197"/>
      <c r="B634" s="198"/>
      <c r="C634" s="199"/>
      <c r="D634" s="198"/>
      <c r="E634" s="199"/>
      <c r="F634" s="205"/>
      <c r="G634" s="205"/>
      <c r="H634" s="201"/>
      <c r="I634" s="201"/>
      <c r="J634" s="199"/>
      <c r="K634" s="199"/>
      <c r="L634" s="199"/>
      <c r="M634" s="205"/>
      <c r="N634" s="205"/>
      <c r="O634" s="205"/>
    </row>
    <row r="635" spans="1:15" x14ac:dyDescent="0.25">
      <c r="A635" s="197"/>
      <c r="B635" s="198"/>
      <c r="C635" s="199"/>
      <c r="D635" s="198"/>
      <c r="E635" s="199"/>
      <c r="F635" s="205"/>
      <c r="G635" s="205"/>
      <c r="H635" s="201"/>
      <c r="I635" s="201"/>
      <c r="J635" s="199"/>
      <c r="K635" s="199"/>
      <c r="L635" s="199"/>
      <c r="M635" s="205"/>
      <c r="N635" s="205"/>
      <c r="O635" s="205"/>
    </row>
    <row r="636" spans="1:15" x14ac:dyDescent="0.25">
      <c r="A636" s="197"/>
      <c r="B636" s="198"/>
      <c r="C636" s="199"/>
      <c r="D636" s="198"/>
      <c r="E636" s="199"/>
      <c r="F636" s="205"/>
      <c r="G636" s="205"/>
      <c r="H636" s="201"/>
      <c r="I636" s="201"/>
      <c r="J636" s="199"/>
      <c r="K636" s="199"/>
      <c r="L636" s="199"/>
      <c r="M636" s="205"/>
      <c r="N636" s="205"/>
      <c r="O636" s="205"/>
    </row>
    <row r="637" spans="1:15" x14ac:dyDescent="0.25">
      <c r="A637" s="197"/>
      <c r="B637" s="198"/>
      <c r="C637" s="199"/>
      <c r="D637" s="198"/>
      <c r="E637" s="199"/>
      <c r="F637" s="205"/>
      <c r="G637" s="205"/>
      <c r="H637" s="201"/>
      <c r="I637" s="201"/>
      <c r="J637" s="199"/>
      <c r="K637" s="199"/>
      <c r="L637" s="199"/>
      <c r="M637" s="205"/>
      <c r="N637" s="205"/>
      <c r="O637" s="205"/>
    </row>
    <row r="638" spans="1:15" x14ac:dyDescent="0.25">
      <c r="A638" s="197"/>
      <c r="B638" s="198"/>
      <c r="C638" s="199"/>
      <c r="D638" s="198"/>
      <c r="E638" s="199"/>
      <c r="F638" s="205"/>
      <c r="G638" s="205"/>
      <c r="H638" s="201"/>
      <c r="I638" s="201"/>
      <c r="J638" s="199"/>
      <c r="K638" s="199"/>
      <c r="L638" s="199"/>
      <c r="M638" s="205"/>
      <c r="N638" s="205"/>
      <c r="O638" s="205"/>
    </row>
    <row r="639" spans="1:15" x14ac:dyDescent="0.25">
      <c r="A639" s="197"/>
      <c r="B639" s="198"/>
      <c r="C639" s="199"/>
      <c r="D639" s="198"/>
      <c r="E639" s="199"/>
      <c r="F639" s="205"/>
      <c r="G639" s="205"/>
      <c r="H639" s="201"/>
      <c r="I639" s="201"/>
      <c r="J639" s="199"/>
      <c r="K639" s="199"/>
      <c r="L639" s="199"/>
      <c r="M639" s="205"/>
      <c r="N639" s="205"/>
      <c r="O639" s="205"/>
    </row>
    <row r="640" spans="1:15" x14ac:dyDescent="0.25">
      <c r="A640" s="197"/>
      <c r="B640" s="198"/>
      <c r="C640" s="199"/>
      <c r="D640" s="198"/>
      <c r="E640" s="199"/>
      <c r="F640" s="205"/>
      <c r="G640" s="205"/>
      <c r="H640" s="201"/>
      <c r="I640" s="201"/>
      <c r="J640" s="199"/>
      <c r="K640" s="199"/>
      <c r="L640" s="199"/>
      <c r="M640" s="205"/>
      <c r="N640" s="205"/>
      <c r="O640" s="205"/>
    </row>
    <row r="641" spans="1:15" x14ac:dyDescent="0.25">
      <c r="A641" s="197"/>
      <c r="B641" s="198"/>
      <c r="C641" s="199"/>
      <c r="D641" s="198"/>
      <c r="E641" s="199"/>
      <c r="F641" s="205"/>
      <c r="G641" s="205"/>
      <c r="H641" s="201"/>
      <c r="I641" s="201"/>
      <c r="J641" s="199"/>
      <c r="K641" s="199"/>
      <c r="L641" s="199"/>
      <c r="M641" s="205"/>
      <c r="N641" s="205"/>
      <c r="O641" s="205"/>
    </row>
    <row r="642" spans="1:15" x14ac:dyDescent="0.25">
      <c r="A642" s="197"/>
      <c r="B642" s="198"/>
      <c r="C642" s="199"/>
      <c r="D642" s="198"/>
      <c r="E642" s="199"/>
      <c r="F642" s="205"/>
      <c r="G642" s="205"/>
      <c r="H642" s="201"/>
      <c r="I642" s="201"/>
      <c r="J642" s="199"/>
      <c r="K642" s="199"/>
      <c r="L642" s="199"/>
      <c r="M642" s="205"/>
      <c r="N642" s="205"/>
      <c r="O642" s="205"/>
    </row>
    <row r="643" spans="1:15" x14ac:dyDescent="0.25">
      <c r="A643" s="197"/>
      <c r="B643" s="198"/>
      <c r="C643" s="199"/>
      <c r="D643" s="198"/>
      <c r="E643" s="199"/>
      <c r="F643" s="205"/>
      <c r="G643" s="205"/>
      <c r="H643" s="201"/>
      <c r="I643" s="201"/>
      <c r="J643" s="199"/>
      <c r="K643" s="199"/>
      <c r="L643" s="199"/>
      <c r="M643" s="205"/>
      <c r="N643" s="205"/>
      <c r="O643" s="205"/>
    </row>
    <row r="644" spans="1:15" x14ac:dyDescent="0.25">
      <c r="A644" s="197"/>
      <c r="B644" s="198"/>
      <c r="C644" s="201"/>
      <c r="D644" s="198"/>
      <c r="E644" s="201"/>
      <c r="F644" s="207"/>
      <c r="G644" s="207"/>
      <c r="H644" s="201"/>
      <c r="I644" s="201"/>
      <c r="J644" s="201"/>
      <c r="K644" s="201"/>
      <c r="L644" s="201"/>
      <c r="M644" s="205"/>
      <c r="N644" s="205"/>
      <c r="O644" s="205"/>
    </row>
    <row r="645" spans="1:15" x14ac:dyDescent="0.25">
      <c r="A645" s="197"/>
      <c r="B645" s="198"/>
      <c r="C645" s="199"/>
      <c r="D645" s="198"/>
      <c r="E645" s="199"/>
      <c r="F645" s="207"/>
      <c r="G645" s="207"/>
      <c r="H645" s="201"/>
      <c r="I645" s="201"/>
      <c r="J645" s="199"/>
      <c r="K645" s="199"/>
      <c r="L645" s="199"/>
      <c r="M645" s="205"/>
      <c r="N645" s="205"/>
      <c r="O645" s="205"/>
    </row>
    <row r="646" spans="1:15" x14ac:dyDescent="0.25">
      <c r="A646" s="197"/>
      <c r="B646" s="198"/>
      <c r="C646" s="199"/>
      <c r="D646" s="198"/>
      <c r="E646" s="199"/>
      <c r="F646" s="207"/>
      <c r="G646" s="207"/>
      <c r="H646" s="201"/>
      <c r="I646" s="201"/>
      <c r="J646" s="199"/>
      <c r="K646" s="199"/>
      <c r="L646" s="199"/>
      <c r="M646" s="205"/>
      <c r="N646" s="205"/>
      <c r="O646" s="205"/>
    </row>
    <row r="647" spans="1:15" x14ac:dyDescent="0.25">
      <c r="A647" s="197"/>
      <c r="B647" s="198"/>
      <c r="C647" s="199"/>
      <c r="D647" s="198"/>
      <c r="E647" s="199"/>
      <c r="F647" s="207"/>
      <c r="G647" s="207"/>
      <c r="H647" s="201"/>
      <c r="I647" s="201"/>
      <c r="J647" s="199"/>
      <c r="K647" s="199"/>
      <c r="L647" s="199"/>
      <c r="M647" s="205"/>
      <c r="N647" s="205"/>
      <c r="O647" s="205"/>
    </row>
    <row r="648" spans="1:15" x14ac:dyDescent="0.25">
      <c r="A648" s="197"/>
      <c r="B648" s="198"/>
      <c r="C648" s="199"/>
      <c r="D648" s="198"/>
      <c r="E648" s="199"/>
      <c r="F648" s="207"/>
      <c r="G648" s="207"/>
      <c r="H648" s="201"/>
      <c r="I648" s="201"/>
      <c r="J648" s="199"/>
      <c r="K648" s="199"/>
      <c r="L648" s="199"/>
      <c r="M648" s="205"/>
      <c r="N648" s="205"/>
      <c r="O648" s="205"/>
    </row>
    <row r="649" spans="1:15" x14ac:dyDescent="0.25">
      <c r="A649" s="197"/>
      <c r="B649" s="198"/>
      <c r="C649" s="199"/>
      <c r="D649" s="198"/>
      <c r="E649" s="199"/>
      <c r="F649" s="207"/>
      <c r="G649" s="207"/>
      <c r="H649" s="201"/>
      <c r="I649" s="201"/>
      <c r="J649" s="199"/>
      <c r="K649" s="199"/>
      <c r="L649" s="199"/>
      <c r="M649" s="205"/>
      <c r="N649" s="205"/>
      <c r="O649" s="205"/>
    </row>
    <row r="650" spans="1:15" x14ac:dyDescent="0.25">
      <c r="A650" s="197"/>
      <c r="B650" s="198"/>
      <c r="C650" s="199"/>
      <c r="D650" s="198"/>
      <c r="E650" s="199"/>
      <c r="F650" s="207"/>
      <c r="G650" s="207"/>
      <c r="H650" s="201"/>
      <c r="I650" s="201"/>
      <c r="J650" s="199"/>
      <c r="K650" s="199"/>
      <c r="L650" s="199"/>
      <c r="M650" s="205"/>
      <c r="N650" s="205"/>
      <c r="O650" s="205"/>
    </row>
    <row r="651" spans="1:15" x14ac:dyDescent="0.25">
      <c r="A651" s="197"/>
      <c r="B651" s="198"/>
      <c r="C651" s="199"/>
      <c r="D651" s="198"/>
      <c r="E651" s="199"/>
      <c r="F651" s="207"/>
      <c r="G651" s="207"/>
      <c r="H651" s="201"/>
      <c r="I651" s="201"/>
      <c r="J651" s="199"/>
      <c r="K651" s="199"/>
      <c r="L651" s="199"/>
      <c r="M651" s="205"/>
      <c r="N651" s="205"/>
      <c r="O651" s="205"/>
    </row>
    <row r="652" spans="1:15" x14ac:dyDescent="0.25">
      <c r="A652" s="197"/>
      <c r="B652" s="198"/>
      <c r="C652" s="199"/>
      <c r="D652" s="198"/>
      <c r="E652" s="199"/>
      <c r="F652" s="207"/>
      <c r="G652" s="207"/>
      <c r="H652" s="201"/>
      <c r="I652" s="201"/>
      <c r="J652" s="199"/>
      <c r="K652" s="199"/>
      <c r="L652" s="199"/>
      <c r="M652" s="205"/>
      <c r="N652" s="205"/>
      <c r="O652" s="205"/>
    </row>
    <row r="653" spans="1:15" x14ac:dyDescent="0.25">
      <c r="A653" s="197"/>
      <c r="B653" s="198"/>
      <c r="C653" s="199"/>
      <c r="D653" s="198"/>
      <c r="E653" s="199"/>
      <c r="F653" s="207"/>
      <c r="G653" s="207"/>
      <c r="H653" s="201"/>
      <c r="I653" s="201"/>
      <c r="J653" s="199"/>
      <c r="K653" s="199"/>
      <c r="L653" s="199"/>
      <c r="M653" s="205"/>
      <c r="N653" s="205"/>
      <c r="O653" s="205"/>
    </row>
    <row r="654" spans="1:15" x14ac:dyDescent="0.25">
      <c r="A654" s="197"/>
      <c r="B654" s="198"/>
      <c r="C654" s="199"/>
      <c r="D654" s="198"/>
      <c r="E654" s="199"/>
      <c r="F654" s="207"/>
      <c r="G654" s="207"/>
      <c r="H654" s="201"/>
      <c r="I654" s="201"/>
      <c r="J654" s="199"/>
      <c r="K654" s="199"/>
      <c r="L654" s="199"/>
      <c r="M654" s="205"/>
      <c r="N654" s="205"/>
      <c r="O654" s="205"/>
    </row>
    <row r="655" spans="1:15" x14ac:dyDescent="0.25">
      <c r="A655" s="197"/>
      <c r="B655" s="198"/>
      <c r="C655" s="199"/>
      <c r="D655" s="198"/>
      <c r="E655" s="199"/>
      <c r="F655" s="207"/>
      <c r="G655" s="207"/>
      <c r="H655" s="201"/>
      <c r="I655" s="201"/>
      <c r="J655" s="199"/>
      <c r="K655" s="199"/>
      <c r="L655" s="199"/>
      <c r="M655" s="205"/>
      <c r="N655" s="205"/>
      <c r="O655" s="205"/>
    </row>
    <row r="656" spans="1:15" x14ac:dyDescent="0.25">
      <c r="A656" s="197"/>
      <c r="B656" s="198"/>
      <c r="C656" s="199"/>
      <c r="D656" s="198"/>
      <c r="E656" s="201"/>
      <c r="F656" s="207"/>
      <c r="G656" s="207"/>
      <c r="H656" s="201"/>
      <c r="I656" s="201"/>
      <c r="J656" s="201"/>
      <c r="K656" s="201"/>
      <c r="L656" s="201"/>
      <c r="M656" s="205"/>
      <c r="N656" s="205"/>
      <c r="O656" s="205"/>
    </row>
    <row r="657" spans="1:15" x14ac:dyDescent="0.25">
      <c r="A657" s="197"/>
      <c r="B657" s="198"/>
      <c r="C657" s="199"/>
      <c r="D657" s="198"/>
      <c r="E657" s="201"/>
      <c r="F657" s="207"/>
      <c r="G657" s="207"/>
      <c r="H657" s="201"/>
      <c r="I657" s="201"/>
      <c r="J657" s="201"/>
      <c r="K657" s="201"/>
      <c r="L657" s="201"/>
      <c r="M657" s="205"/>
      <c r="N657" s="205"/>
      <c r="O657" s="205"/>
    </row>
    <row r="658" spans="1:15" x14ac:dyDescent="0.25">
      <c r="A658" s="197"/>
      <c r="B658" s="198"/>
      <c r="C658" s="199"/>
      <c r="D658" s="198"/>
      <c r="E658" s="201"/>
      <c r="F658" s="207"/>
      <c r="G658" s="207"/>
      <c r="H658" s="201"/>
      <c r="I658" s="201"/>
      <c r="J658" s="201"/>
      <c r="K658" s="201"/>
      <c r="L658" s="201"/>
      <c r="M658" s="205"/>
      <c r="N658" s="205"/>
      <c r="O658" s="205"/>
    </row>
    <row r="659" spans="1:15" x14ac:dyDescent="0.25">
      <c r="A659" s="197"/>
      <c r="B659" s="198"/>
      <c r="C659" s="199"/>
      <c r="D659" s="198"/>
      <c r="E659" s="201"/>
      <c r="F659" s="207"/>
      <c r="G659" s="207"/>
      <c r="H659" s="201"/>
      <c r="I659" s="201"/>
      <c r="J659" s="201"/>
      <c r="K659" s="201"/>
      <c r="L659" s="201"/>
      <c r="M659" s="205"/>
      <c r="N659" s="205"/>
      <c r="O659" s="205"/>
    </row>
    <row r="660" spans="1:15" x14ac:dyDescent="0.25">
      <c r="A660" s="197"/>
      <c r="B660" s="198"/>
      <c r="C660" s="199"/>
      <c r="D660" s="198"/>
      <c r="E660" s="201"/>
      <c r="F660" s="207"/>
      <c r="G660" s="207"/>
      <c r="H660" s="201"/>
      <c r="I660" s="201"/>
      <c r="J660" s="201"/>
      <c r="K660" s="201"/>
      <c r="L660" s="201"/>
      <c r="M660" s="205"/>
      <c r="N660" s="205"/>
      <c r="O660" s="205"/>
    </row>
    <row r="661" spans="1:15" x14ac:dyDescent="0.25">
      <c r="A661" s="197"/>
      <c r="B661" s="198"/>
      <c r="C661" s="199"/>
      <c r="D661" s="198"/>
      <c r="E661" s="201"/>
      <c r="F661" s="207"/>
      <c r="G661" s="207"/>
      <c r="H661" s="201"/>
      <c r="I661" s="201"/>
      <c r="J661" s="201"/>
      <c r="K661" s="201"/>
      <c r="L661" s="201"/>
      <c r="M661" s="205"/>
      <c r="N661" s="205"/>
      <c r="O661" s="205"/>
    </row>
    <row r="662" spans="1:15" x14ac:dyDescent="0.25">
      <c r="A662" s="197"/>
      <c r="B662" s="198"/>
      <c r="C662" s="199"/>
      <c r="D662" s="198"/>
      <c r="E662" s="201"/>
      <c r="F662" s="207"/>
      <c r="G662" s="207"/>
      <c r="H662" s="201"/>
      <c r="I662" s="201"/>
      <c r="J662" s="201"/>
      <c r="K662" s="201"/>
      <c r="L662" s="201"/>
      <c r="M662" s="205"/>
      <c r="N662" s="205"/>
      <c r="O662" s="205"/>
    </row>
    <row r="663" spans="1:15" x14ac:dyDescent="0.25">
      <c r="A663" s="197"/>
      <c r="B663" s="198"/>
      <c r="C663" s="199"/>
      <c r="D663" s="198"/>
      <c r="E663" s="201"/>
      <c r="F663" s="207"/>
      <c r="G663" s="207"/>
      <c r="H663" s="201"/>
      <c r="I663" s="201"/>
      <c r="J663" s="201"/>
      <c r="K663" s="201"/>
      <c r="L663" s="201"/>
      <c r="M663" s="205"/>
      <c r="N663" s="205"/>
      <c r="O663" s="205"/>
    </row>
    <row r="664" spans="1:15" x14ac:dyDescent="0.25">
      <c r="A664" s="197"/>
      <c r="B664" s="198"/>
      <c r="C664" s="199"/>
      <c r="D664" s="198"/>
      <c r="E664" s="201"/>
      <c r="F664" s="207"/>
      <c r="G664" s="207"/>
      <c r="H664" s="201"/>
      <c r="I664" s="201"/>
      <c r="J664" s="201"/>
      <c r="K664" s="201"/>
      <c r="L664" s="201"/>
      <c r="M664" s="205"/>
      <c r="N664" s="205"/>
      <c r="O664" s="205"/>
    </row>
    <row r="665" spans="1:15" x14ac:dyDescent="0.25">
      <c r="A665" s="197"/>
      <c r="B665" s="198"/>
      <c r="C665" s="199"/>
      <c r="D665" s="198"/>
      <c r="E665" s="201"/>
      <c r="F665" s="207"/>
      <c r="G665" s="207"/>
      <c r="H665" s="201"/>
      <c r="I665" s="201"/>
      <c r="J665" s="201"/>
      <c r="K665" s="201"/>
      <c r="L665" s="201"/>
      <c r="M665" s="205"/>
      <c r="N665" s="205"/>
      <c r="O665" s="205"/>
    </row>
    <row r="666" spans="1:15" x14ac:dyDescent="0.25">
      <c r="A666" s="197"/>
      <c r="B666" s="198"/>
      <c r="C666" s="199"/>
      <c r="D666" s="198"/>
      <c r="E666" s="201"/>
      <c r="F666" s="207"/>
      <c r="G666" s="207"/>
      <c r="H666" s="201"/>
      <c r="I666" s="201"/>
      <c r="J666" s="201"/>
      <c r="K666" s="201"/>
      <c r="L666" s="201"/>
      <c r="M666" s="205"/>
      <c r="N666" s="205"/>
      <c r="O666" s="205"/>
    </row>
    <row r="667" spans="1:15" x14ac:dyDescent="0.25">
      <c r="A667" s="197"/>
      <c r="B667" s="198"/>
      <c r="C667" s="199"/>
      <c r="D667" s="198"/>
      <c r="E667" s="201"/>
      <c r="F667" s="207"/>
      <c r="G667" s="207"/>
      <c r="H667" s="201"/>
      <c r="I667" s="201"/>
      <c r="J667" s="201"/>
      <c r="K667" s="201"/>
      <c r="L667" s="201"/>
      <c r="M667" s="205"/>
      <c r="N667" s="205"/>
      <c r="O667" s="205"/>
    </row>
    <row r="668" spans="1:15" x14ac:dyDescent="0.25">
      <c r="A668" s="197"/>
      <c r="B668" s="198"/>
      <c r="C668" s="199"/>
      <c r="D668" s="198"/>
      <c r="E668" s="201"/>
      <c r="F668" s="207"/>
      <c r="G668" s="207"/>
      <c r="H668" s="201"/>
      <c r="I668" s="201"/>
      <c r="J668" s="201"/>
      <c r="K668" s="201"/>
      <c r="L668" s="201"/>
      <c r="M668" s="205"/>
      <c r="N668" s="205"/>
      <c r="O668" s="205"/>
    </row>
    <row r="669" spans="1:15" x14ac:dyDescent="0.25">
      <c r="A669" s="197"/>
      <c r="B669" s="198"/>
      <c r="C669" s="199"/>
      <c r="D669" s="198"/>
      <c r="E669" s="201"/>
      <c r="F669" s="207"/>
      <c r="G669" s="207"/>
      <c r="H669" s="201"/>
      <c r="I669" s="201"/>
      <c r="J669" s="201"/>
      <c r="K669" s="201"/>
      <c r="L669" s="201"/>
      <c r="M669" s="205"/>
      <c r="N669" s="205"/>
      <c r="O669" s="205"/>
    </row>
    <row r="670" spans="1:15" x14ac:dyDescent="0.25">
      <c r="A670" s="197"/>
      <c r="B670" s="198"/>
      <c r="C670" s="199"/>
      <c r="D670" s="198"/>
      <c r="E670" s="199"/>
      <c r="F670" s="207"/>
      <c r="G670" s="207"/>
      <c r="H670" s="201"/>
      <c r="I670" s="201"/>
      <c r="J670" s="199"/>
      <c r="K670" s="199"/>
      <c r="L670" s="199"/>
      <c r="M670" s="205"/>
      <c r="N670" s="205"/>
      <c r="O670" s="205"/>
    </row>
    <row r="671" spans="1:15" x14ac:dyDescent="0.25">
      <c r="A671" s="197"/>
      <c r="B671" s="198"/>
      <c r="C671" s="199"/>
      <c r="D671" s="198"/>
      <c r="E671" s="201"/>
      <c r="F671" s="207"/>
      <c r="G671" s="207"/>
      <c r="H671" s="201"/>
      <c r="I671" s="201"/>
      <c r="J671" s="201"/>
      <c r="K671" s="201"/>
      <c r="L671" s="201"/>
      <c r="M671" s="205"/>
      <c r="N671" s="205"/>
      <c r="O671" s="205"/>
    </row>
    <row r="672" spans="1:15" x14ac:dyDescent="0.25">
      <c r="A672" s="197"/>
      <c r="B672" s="198"/>
      <c r="C672" s="199"/>
      <c r="D672" s="198"/>
      <c r="E672" s="201"/>
      <c r="F672" s="207"/>
      <c r="G672" s="207"/>
      <c r="H672" s="201"/>
      <c r="I672" s="201"/>
      <c r="J672" s="201"/>
      <c r="K672" s="201"/>
      <c r="L672" s="201"/>
      <c r="M672" s="205"/>
      <c r="N672" s="205"/>
      <c r="O672" s="205"/>
    </row>
    <row r="673" spans="1:15" x14ac:dyDescent="0.25">
      <c r="A673" s="197"/>
      <c r="B673" s="198"/>
      <c r="C673" s="199"/>
      <c r="D673" s="198"/>
      <c r="E673" s="201"/>
      <c r="F673" s="207"/>
      <c r="G673" s="207"/>
      <c r="H673" s="201"/>
      <c r="I673" s="201"/>
      <c r="J673" s="201"/>
      <c r="K673" s="201"/>
      <c r="L673" s="201"/>
      <c r="M673" s="205"/>
      <c r="N673" s="205"/>
      <c r="O673" s="205"/>
    </row>
    <row r="674" spans="1:15" x14ac:dyDescent="0.25">
      <c r="A674" s="197"/>
      <c r="B674" s="198"/>
      <c r="C674" s="199"/>
      <c r="D674" s="198"/>
      <c r="E674" s="201"/>
      <c r="F674" s="207"/>
      <c r="G674" s="207"/>
      <c r="H674" s="201"/>
      <c r="I674" s="201"/>
      <c r="J674" s="201"/>
      <c r="K674" s="201"/>
      <c r="L674" s="201"/>
      <c r="M674" s="205"/>
      <c r="N674" s="205"/>
      <c r="O674" s="205"/>
    </row>
    <row r="675" spans="1:15" x14ac:dyDescent="0.25">
      <c r="A675" s="197"/>
      <c r="B675" s="198"/>
      <c r="C675" s="199"/>
      <c r="D675" s="198"/>
      <c r="E675" s="201"/>
      <c r="F675" s="207"/>
      <c r="G675" s="207"/>
      <c r="H675" s="201"/>
      <c r="I675" s="201"/>
      <c r="J675" s="201"/>
      <c r="K675" s="201"/>
      <c r="L675" s="201"/>
      <c r="M675" s="205"/>
      <c r="N675" s="205"/>
      <c r="O675" s="205"/>
    </row>
    <row r="676" spans="1:15" x14ac:dyDescent="0.25">
      <c r="A676" s="197"/>
      <c r="B676" s="198"/>
      <c r="C676" s="199"/>
      <c r="D676" s="198"/>
      <c r="E676" s="201"/>
      <c r="F676" s="207"/>
      <c r="G676" s="207"/>
      <c r="H676" s="201"/>
      <c r="I676" s="201"/>
      <c r="J676" s="201"/>
      <c r="K676" s="201"/>
      <c r="L676" s="201"/>
      <c r="M676" s="205"/>
      <c r="N676" s="205"/>
      <c r="O676" s="205"/>
    </row>
    <row r="677" spans="1:15" x14ac:dyDescent="0.25">
      <c r="A677" s="197"/>
      <c r="B677" s="198"/>
      <c r="C677" s="199"/>
      <c r="D677" s="198"/>
      <c r="E677" s="201"/>
      <c r="F677" s="207"/>
      <c r="G677" s="207"/>
      <c r="H677" s="201"/>
      <c r="I677" s="201"/>
      <c r="J677" s="201"/>
      <c r="K677" s="201"/>
      <c r="L677" s="201"/>
      <c r="M677" s="205"/>
      <c r="N677" s="205"/>
      <c r="O677" s="205"/>
    </row>
    <row r="678" spans="1:15" x14ac:dyDescent="0.25">
      <c r="A678" s="197"/>
      <c r="B678" s="198"/>
      <c r="C678" s="199"/>
      <c r="D678" s="198"/>
      <c r="E678" s="201"/>
      <c r="F678" s="207"/>
      <c r="G678" s="207"/>
      <c r="H678" s="201"/>
      <c r="I678" s="201"/>
      <c r="J678" s="201"/>
      <c r="K678" s="201"/>
      <c r="L678" s="201"/>
      <c r="M678" s="205"/>
      <c r="N678" s="205"/>
      <c r="O678" s="205"/>
    </row>
    <row r="679" spans="1:15" x14ac:dyDescent="0.25">
      <c r="A679" s="197"/>
      <c r="B679" s="198"/>
      <c r="C679" s="199"/>
      <c r="D679" s="198"/>
      <c r="E679" s="201"/>
      <c r="F679" s="207"/>
      <c r="G679" s="207"/>
      <c r="H679" s="201"/>
      <c r="I679" s="201"/>
      <c r="J679" s="201"/>
      <c r="K679" s="201"/>
      <c r="L679" s="201"/>
      <c r="M679" s="205"/>
      <c r="N679" s="205"/>
      <c r="O679" s="205"/>
    </row>
    <row r="680" spans="1:15" x14ac:dyDescent="0.25">
      <c r="A680" s="197"/>
      <c r="B680" s="198"/>
      <c r="C680" s="199"/>
      <c r="D680" s="198"/>
      <c r="E680" s="201"/>
      <c r="F680" s="207"/>
      <c r="G680" s="207"/>
      <c r="H680" s="201"/>
      <c r="I680" s="201"/>
      <c r="J680" s="201"/>
      <c r="K680" s="201"/>
      <c r="L680" s="201"/>
      <c r="M680" s="205"/>
      <c r="N680" s="205"/>
      <c r="O680" s="205"/>
    </row>
    <row r="681" spans="1:15" x14ac:dyDescent="0.25">
      <c r="A681" s="197"/>
      <c r="B681" s="198"/>
      <c r="C681" s="199"/>
      <c r="D681" s="198"/>
      <c r="E681" s="201"/>
      <c r="F681" s="207"/>
      <c r="G681" s="207"/>
      <c r="H681" s="201"/>
      <c r="I681" s="201"/>
      <c r="J681" s="201"/>
      <c r="K681" s="201"/>
      <c r="L681" s="201"/>
      <c r="M681" s="205"/>
      <c r="N681" s="205"/>
      <c r="O681" s="205"/>
    </row>
    <row r="682" spans="1:15" x14ac:dyDescent="0.25">
      <c r="A682" s="197"/>
      <c r="B682" s="198"/>
      <c r="C682" s="199"/>
      <c r="D682" s="198"/>
      <c r="E682" s="201"/>
      <c r="F682" s="207"/>
      <c r="G682" s="207"/>
      <c r="H682" s="201"/>
      <c r="I682" s="201"/>
      <c r="J682" s="201"/>
      <c r="K682" s="201"/>
      <c r="L682" s="201"/>
      <c r="M682" s="205"/>
      <c r="N682" s="205"/>
      <c r="O682" s="205"/>
    </row>
    <row r="683" spans="1:15" x14ac:dyDescent="0.25">
      <c r="A683" s="197"/>
      <c r="B683" s="198"/>
      <c r="C683" s="199"/>
      <c r="D683" s="198"/>
      <c r="E683" s="201"/>
      <c r="F683" s="207"/>
      <c r="G683" s="207"/>
      <c r="H683" s="201"/>
      <c r="I683" s="201"/>
      <c r="J683" s="201"/>
      <c r="K683" s="201"/>
      <c r="L683" s="201"/>
      <c r="M683" s="205"/>
      <c r="N683" s="205"/>
      <c r="O683" s="205"/>
    </row>
    <row r="684" spans="1:15" x14ac:dyDescent="0.25">
      <c r="A684" s="197"/>
      <c r="B684" s="198"/>
      <c r="C684" s="199"/>
      <c r="D684" s="198"/>
      <c r="E684" s="201"/>
      <c r="F684" s="207"/>
      <c r="G684" s="207"/>
      <c r="H684" s="201"/>
      <c r="I684" s="201"/>
      <c r="J684" s="201"/>
      <c r="K684" s="201"/>
      <c r="L684" s="201"/>
      <c r="M684" s="205"/>
      <c r="N684" s="205"/>
      <c r="O684" s="205"/>
    </row>
    <row r="685" spans="1:15" x14ac:dyDescent="0.25">
      <c r="A685" s="197"/>
      <c r="B685" s="198"/>
      <c r="C685" s="199"/>
      <c r="D685" s="198"/>
      <c r="E685" s="201"/>
      <c r="F685" s="207"/>
      <c r="G685" s="207"/>
      <c r="H685" s="201"/>
      <c r="I685" s="201"/>
      <c r="J685" s="201"/>
      <c r="K685" s="201"/>
      <c r="L685" s="201"/>
      <c r="M685" s="205"/>
      <c r="N685" s="205"/>
      <c r="O685" s="205"/>
    </row>
    <row r="686" spans="1:15" x14ac:dyDescent="0.25">
      <c r="A686" s="197"/>
      <c r="B686" s="198"/>
      <c r="C686" s="199"/>
      <c r="D686" s="198"/>
      <c r="E686" s="201"/>
      <c r="F686" s="207"/>
      <c r="G686" s="207"/>
      <c r="H686" s="201"/>
      <c r="I686" s="201"/>
      <c r="J686" s="201"/>
      <c r="K686" s="201"/>
      <c r="L686" s="201"/>
      <c r="M686" s="205"/>
      <c r="N686" s="205"/>
      <c r="O686" s="205"/>
    </row>
    <row r="687" spans="1:15" x14ac:dyDescent="0.25">
      <c r="A687" s="197"/>
      <c r="B687" s="198"/>
      <c r="C687" s="199"/>
      <c r="D687" s="198"/>
      <c r="E687" s="201"/>
      <c r="F687" s="207"/>
      <c r="G687" s="207"/>
      <c r="H687" s="201"/>
      <c r="I687" s="201"/>
      <c r="J687" s="201"/>
      <c r="K687" s="201"/>
      <c r="L687" s="201"/>
      <c r="M687" s="205"/>
      <c r="N687" s="205"/>
      <c r="O687" s="205"/>
    </row>
    <row r="688" spans="1:15" x14ac:dyDescent="0.25">
      <c r="A688" s="197"/>
      <c r="B688" s="198"/>
      <c r="C688" s="199"/>
      <c r="D688" s="198"/>
      <c r="E688" s="201"/>
      <c r="F688" s="207"/>
      <c r="G688" s="207"/>
      <c r="H688" s="201"/>
      <c r="I688" s="201"/>
      <c r="J688" s="201"/>
      <c r="K688" s="201"/>
      <c r="L688" s="201"/>
      <c r="M688" s="205"/>
      <c r="N688" s="205"/>
      <c r="O688" s="205"/>
    </row>
    <row r="689" spans="1:15" x14ac:dyDescent="0.25">
      <c r="A689" s="197"/>
      <c r="B689" s="198"/>
      <c r="C689" s="199"/>
      <c r="D689" s="198"/>
      <c r="E689" s="201"/>
      <c r="F689" s="207"/>
      <c r="G689" s="207"/>
      <c r="H689" s="201"/>
      <c r="I689" s="201"/>
      <c r="J689" s="201"/>
      <c r="K689" s="201"/>
      <c r="L689" s="201"/>
      <c r="M689" s="205"/>
      <c r="N689" s="205"/>
      <c r="O689" s="205"/>
    </row>
    <row r="690" spans="1:15" x14ac:dyDescent="0.25">
      <c r="A690" s="197"/>
      <c r="B690" s="198"/>
      <c r="C690" s="199"/>
      <c r="D690" s="198"/>
      <c r="E690" s="201"/>
      <c r="F690" s="207"/>
      <c r="G690" s="207"/>
      <c r="H690" s="201"/>
      <c r="I690" s="201"/>
      <c r="J690" s="201"/>
      <c r="K690" s="201"/>
      <c r="L690" s="201"/>
      <c r="M690" s="205"/>
      <c r="N690" s="205"/>
      <c r="O690" s="205"/>
    </row>
    <row r="691" spans="1:15" x14ac:dyDescent="0.25">
      <c r="A691" s="197"/>
      <c r="B691" s="198"/>
      <c r="C691" s="199"/>
      <c r="D691" s="198"/>
      <c r="E691" s="201"/>
      <c r="F691" s="207"/>
      <c r="G691" s="207"/>
      <c r="H691" s="201"/>
      <c r="I691" s="201"/>
      <c r="J691" s="201"/>
      <c r="K691" s="201"/>
      <c r="L691" s="201"/>
      <c r="M691" s="205"/>
      <c r="N691" s="205"/>
      <c r="O691" s="205"/>
    </row>
    <row r="692" spans="1:15" x14ac:dyDescent="0.25">
      <c r="A692" s="197"/>
      <c r="B692" s="198"/>
      <c r="C692" s="199"/>
      <c r="D692" s="198"/>
      <c r="E692" s="201"/>
      <c r="F692" s="207"/>
      <c r="G692" s="207"/>
      <c r="H692" s="201"/>
      <c r="I692" s="201"/>
      <c r="J692" s="201"/>
      <c r="K692" s="201"/>
      <c r="L692" s="201"/>
      <c r="M692" s="205"/>
      <c r="N692" s="205"/>
      <c r="O692" s="205"/>
    </row>
    <row r="693" spans="1:15" x14ac:dyDescent="0.25">
      <c r="A693" s="197"/>
      <c r="B693" s="198"/>
      <c r="C693" s="201"/>
      <c r="D693" s="198"/>
      <c r="E693" s="201"/>
      <c r="F693" s="207"/>
      <c r="G693" s="207"/>
      <c r="H693" s="201"/>
      <c r="I693" s="201"/>
      <c r="J693" s="201"/>
      <c r="K693" s="201"/>
      <c r="L693" s="201"/>
      <c r="M693" s="205"/>
      <c r="N693" s="205"/>
      <c r="O693" s="205"/>
    </row>
    <row r="694" spans="1:15" x14ac:dyDescent="0.25">
      <c r="A694" s="197"/>
      <c r="B694" s="198"/>
      <c r="C694" s="201"/>
      <c r="D694" s="198"/>
      <c r="E694" s="201"/>
      <c r="F694" s="207"/>
      <c r="G694" s="207"/>
      <c r="H694" s="201"/>
      <c r="I694" s="201"/>
      <c r="J694" s="201"/>
      <c r="K694" s="201"/>
      <c r="L694" s="201"/>
      <c r="M694" s="205"/>
      <c r="N694" s="205"/>
      <c r="O694" s="205"/>
    </row>
    <row r="695" spans="1:15" x14ac:dyDescent="0.25">
      <c r="A695" s="197"/>
      <c r="B695" s="198"/>
      <c r="C695" s="201"/>
      <c r="D695" s="198"/>
      <c r="E695" s="201"/>
      <c r="F695" s="207"/>
      <c r="G695" s="207"/>
      <c r="H695" s="201"/>
      <c r="I695" s="201"/>
      <c r="J695" s="201"/>
      <c r="K695" s="201"/>
      <c r="L695" s="201"/>
      <c r="M695" s="205"/>
      <c r="N695" s="205"/>
      <c r="O695" s="205"/>
    </row>
    <row r="696" spans="1:15" x14ac:dyDescent="0.25">
      <c r="A696" s="197"/>
      <c r="B696" s="198"/>
      <c r="C696" s="201"/>
      <c r="D696" s="198"/>
      <c r="E696" s="201"/>
      <c r="F696" s="207"/>
      <c r="G696" s="207"/>
      <c r="H696" s="201"/>
      <c r="I696" s="201"/>
      <c r="J696" s="201"/>
      <c r="K696" s="201"/>
      <c r="L696" s="201"/>
      <c r="M696" s="205"/>
      <c r="N696" s="205"/>
      <c r="O696" s="205"/>
    </row>
    <row r="697" spans="1:15" x14ac:dyDescent="0.25">
      <c r="A697" s="197"/>
      <c r="B697" s="198"/>
      <c r="C697" s="201"/>
      <c r="D697" s="198"/>
      <c r="E697" s="201"/>
      <c r="F697" s="207"/>
      <c r="G697" s="207"/>
      <c r="H697" s="201"/>
      <c r="I697" s="201"/>
      <c r="J697" s="201"/>
      <c r="K697" s="201"/>
      <c r="L697" s="201"/>
      <c r="M697" s="205"/>
      <c r="N697" s="205"/>
      <c r="O697" s="205"/>
    </row>
    <row r="698" spans="1:15" x14ac:dyDescent="0.25">
      <c r="A698" s="197"/>
      <c r="B698" s="198"/>
      <c r="C698" s="199"/>
      <c r="D698" s="198"/>
      <c r="E698" s="199"/>
      <c r="F698" s="207"/>
      <c r="G698" s="207"/>
      <c r="H698" s="201"/>
      <c r="I698" s="201"/>
      <c r="J698" s="199"/>
      <c r="K698" s="199"/>
      <c r="L698" s="199"/>
      <c r="M698" s="205"/>
      <c r="N698" s="205"/>
      <c r="O698" s="205"/>
    </row>
    <row r="699" spans="1:15" x14ac:dyDescent="0.25">
      <c r="A699" s="197"/>
      <c r="B699" s="198"/>
      <c r="C699" s="199"/>
      <c r="D699" s="198"/>
      <c r="E699" s="199"/>
      <c r="F699" s="207"/>
      <c r="G699" s="207"/>
      <c r="H699" s="201"/>
      <c r="I699" s="201"/>
      <c r="J699" s="199"/>
      <c r="K699" s="199"/>
      <c r="L699" s="199"/>
      <c r="M699" s="205"/>
      <c r="N699" s="205"/>
      <c r="O699" s="205"/>
    </row>
    <row r="700" spans="1:15" x14ac:dyDescent="0.25">
      <c r="A700" s="197"/>
      <c r="B700" s="198"/>
      <c r="C700" s="199"/>
      <c r="D700" s="198"/>
      <c r="E700" s="199"/>
      <c r="F700" s="207"/>
      <c r="G700" s="207"/>
      <c r="H700" s="201"/>
      <c r="I700" s="201"/>
      <c r="J700" s="199"/>
      <c r="K700" s="199"/>
      <c r="L700" s="199"/>
      <c r="M700" s="205"/>
      <c r="N700" s="205"/>
      <c r="O700" s="205"/>
    </row>
    <row r="701" spans="1:15" x14ac:dyDescent="0.25">
      <c r="A701" s="197"/>
      <c r="B701" s="198"/>
      <c r="C701" s="199"/>
      <c r="D701" s="198"/>
      <c r="E701" s="199"/>
      <c r="F701" s="207"/>
      <c r="G701" s="207"/>
      <c r="H701" s="201"/>
      <c r="I701" s="201"/>
      <c r="J701" s="199"/>
      <c r="K701" s="199"/>
      <c r="L701" s="199"/>
      <c r="M701" s="205"/>
      <c r="N701" s="205"/>
      <c r="O701" s="205"/>
    </row>
    <row r="702" spans="1:15" x14ac:dyDescent="0.25">
      <c r="A702" s="197"/>
      <c r="B702" s="198"/>
      <c r="C702" s="199"/>
      <c r="D702" s="198"/>
      <c r="E702" s="199"/>
      <c r="F702" s="207"/>
      <c r="G702" s="207"/>
      <c r="H702" s="201"/>
      <c r="I702" s="201"/>
      <c r="J702" s="199"/>
      <c r="K702" s="199"/>
      <c r="L702" s="199"/>
      <c r="M702" s="205"/>
      <c r="N702" s="205"/>
      <c r="O702" s="205"/>
    </row>
    <row r="703" spans="1:15" x14ac:dyDescent="0.25">
      <c r="A703" s="197"/>
      <c r="B703" s="198"/>
      <c r="C703" s="199"/>
      <c r="D703" s="198"/>
      <c r="E703" s="199"/>
      <c r="F703" s="207"/>
      <c r="G703" s="207"/>
      <c r="H703" s="201"/>
      <c r="I703" s="201"/>
      <c r="J703" s="199"/>
      <c r="K703" s="199"/>
      <c r="L703" s="199"/>
      <c r="M703" s="205"/>
      <c r="N703" s="205"/>
      <c r="O703" s="205"/>
    </row>
    <row r="704" spans="1:15" x14ac:dyDescent="0.25">
      <c r="A704" s="197"/>
      <c r="B704" s="198"/>
      <c r="C704" s="199"/>
      <c r="D704" s="198"/>
      <c r="E704" s="199"/>
      <c r="F704" s="207"/>
      <c r="G704" s="207"/>
      <c r="H704" s="201"/>
      <c r="I704" s="201"/>
      <c r="J704" s="199"/>
      <c r="K704" s="199"/>
      <c r="L704" s="199"/>
      <c r="M704" s="205"/>
      <c r="N704" s="205"/>
      <c r="O704" s="205"/>
    </row>
    <row r="705" spans="1:15" x14ac:dyDescent="0.25">
      <c r="A705" s="197"/>
      <c r="B705" s="198"/>
      <c r="C705" s="199"/>
      <c r="D705" s="198"/>
      <c r="E705" s="199"/>
      <c r="F705" s="207"/>
      <c r="G705" s="207"/>
      <c r="H705" s="201"/>
      <c r="I705" s="201"/>
      <c r="J705" s="199"/>
      <c r="K705" s="199"/>
      <c r="L705" s="199"/>
      <c r="M705" s="205"/>
      <c r="N705" s="205"/>
      <c r="O705" s="205"/>
    </row>
    <row r="706" spans="1:15" x14ac:dyDescent="0.25">
      <c r="A706" s="197"/>
      <c r="B706" s="198"/>
      <c r="C706" s="199"/>
      <c r="D706" s="198"/>
      <c r="E706" s="199"/>
      <c r="F706" s="207"/>
      <c r="G706" s="207"/>
      <c r="H706" s="201"/>
      <c r="I706" s="201"/>
      <c r="J706" s="199"/>
      <c r="K706" s="199"/>
      <c r="L706" s="199"/>
      <c r="M706" s="205"/>
      <c r="N706" s="205"/>
      <c r="O706" s="205"/>
    </row>
    <row r="707" spans="1:15" x14ac:dyDescent="0.25">
      <c r="A707" s="197"/>
      <c r="B707" s="198"/>
      <c r="C707" s="199"/>
      <c r="D707" s="198"/>
      <c r="E707" s="199"/>
      <c r="F707" s="207"/>
      <c r="G707" s="207"/>
      <c r="H707" s="201"/>
      <c r="I707" s="201"/>
      <c r="J707" s="199"/>
      <c r="K707" s="199"/>
      <c r="L707" s="199"/>
      <c r="M707" s="205"/>
      <c r="N707" s="205"/>
      <c r="O707" s="205"/>
    </row>
    <row r="708" spans="1:15" x14ac:dyDescent="0.25">
      <c r="A708" s="197"/>
      <c r="B708" s="198"/>
      <c r="C708" s="199"/>
      <c r="D708" s="198"/>
      <c r="E708" s="199"/>
      <c r="F708" s="207"/>
      <c r="G708" s="207"/>
      <c r="H708" s="201"/>
      <c r="I708" s="201"/>
      <c r="J708" s="199"/>
      <c r="K708" s="199"/>
      <c r="L708" s="199"/>
      <c r="M708" s="205"/>
      <c r="N708" s="205"/>
      <c r="O708" s="205"/>
    </row>
    <row r="709" spans="1:15" x14ac:dyDescent="0.25">
      <c r="A709" s="197"/>
      <c r="B709" s="198"/>
      <c r="C709" s="199"/>
      <c r="D709" s="198"/>
      <c r="E709" s="199"/>
      <c r="F709" s="207"/>
      <c r="G709" s="207"/>
      <c r="H709" s="201"/>
      <c r="I709" s="201"/>
      <c r="J709" s="199"/>
      <c r="K709" s="199"/>
      <c r="L709" s="199"/>
      <c r="M709" s="205"/>
      <c r="N709" s="205"/>
      <c r="O709" s="205"/>
    </row>
    <row r="710" spans="1:15" x14ac:dyDescent="0.25">
      <c r="A710" s="197"/>
      <c r="B710" s="198"/>
      <c r="C710" s="199"/>
      <c r="D710" s="198"/>
      <c r="E710" s="199"/>
      <c r="F710" s="207"/>
      <c r="G710" s="207"/>
      <c r="H710" s="201"/>
      <c r="I710" s="201"/>
      <c r="J710" s="199"/>
      <c r="K710" s="199"/>
      <c r="L710" s="199"/>
      <c r="M710" s="205"/>
      <c r="N710" s="205"/>
      <c r="O710" s="205"/>
    </row>
    <row r="711" spans="1:15" x14ac:dyDescent="0.25">
      <c r="A711" s="197"/>
      <c r="B711" s="198"/>
      <c r="C711" s="199"/>
      <c r="D711" s="198"/>
      <c r="E711" s="199"/>
      <c r="F711" s="207"/>
      <c r="G711" s="207"/>
      <c r="H711" s="201"/>
      <c r="I711" s="201"/>
      <c r="J711" s="199"/>
      <c r="K711" s="199"/>
      <c r="L711" s="199"/>
      <c r="M711" s="205"/>
      <c r="N711" s="205"/>
      <c r="O711" s="205"/>
    </row>
  </sheetData>
  <mergeCells count="1">
    <mergeCell ref="A1:I2"/>
  </mergeCells>
  <conditionalFormatting sqref="M1:T1048576">
    <cfRule type="cellIs" dxfId="1" priority="2" operator="equal">
      <formula>0</formula>
    </cfRule>
  </conditionalFormatting>
  <hyperlinks>
    <hyperlink ref="K4" r:id="rId1"/>
    <hyperlink ref="K5:K86" r:id="rId2" display="www.fishbase.org"/>
    <hyperlink ref="K87:K169" r:id="rId3" display="www.fishbase.org"/>
    <hyperlink ref="K170:K513" r:id="rId4" display="www.fishbase.org"/>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workbookViewId="0">
      <pane ySplit="3" topLeftCell="A4" activePane="bottomLeft" state="frozen"/>
      <selection pane="bottomLeft" activeCell="M13" sqref="M13"/>
    </sheetView>
  </sheetViews>
  <sheetFormatPr defaultColWidth="9.28515625" defaultRowHeight="15" x14ac:dyDescent="0.25"/>
  <cols>
    <col min="1" max="1" width="29.7109375" bestFit="1" customWidth="1"/>
    <col min="2" max="2" width="29.140625" bestFit="1" customWidth="1"/>
    <col min="3" max="3" width="32.140625" customWidth="1"/>
    <col min="4" max="4" width="11.42578125" style="2" bestFit="1" customWidth="1"/>
    <col min="5" max="5" width="11" style="2" customWidth="1"/>
    <col min="6" max="6" width="16.7109375" customWidth="1"/>
    <col min="7" max="7" width="34.85546875" style="2" customWidth="1"/>
    <col min="8" max="8" width="18.85546875" style="1" customWidth="1"/>
    <col min="9" max="9" width="17.5703125" bestFit="1" customWidth="1"/>
    <col min="10" max="10" width="18.5703125" customWidth="1"/>
    <col min="11" max="11" width="9.5703125" bestFit="1" customWidth="1"/>
    <col min="12" max="12" width="12.5703125" style="9" customWidth="1"/>
  </cols>
  <sheetData>
    <row r="1" spans="1:12" ht="54.75" customHeight="1" thickBot="1" x14ac:dyDescent="0.3">
      <c r="A1" s="433" t="s">
        <v>3079</v>
      </c>
      <c r="B1" s="433"/>
      <c r="C1" s="433"/>
      <c r="D1" s="433"/>
      <c r="E1" s="433"/>
      <c r="F1" s="433"/>
      <c r="G1" s="433"/>
      <c r="H1" s="433"/>
      <c r="I1" s="433"/>
      <c r="J1" s="433"/>
      <c r="K1" s="433"/>
      <c r="L1" s="433"/>
    </row>
    <row r="2" spans="1:12" s="2" customFormat="1" ht="45" x14ac:dyDescent="0.25">
      <c r="A2" s="25" t="s">
        <v>242</v>
      </c>
      <c r="B2" s="25" t="s">
        <v>243</v>
      </c>
      <c r="C2" s="25" t="s">
        <v>244</v>
      </c>
      <c r="D2" s="11" t="s">
        <v>241</v>
      </c>
      <c r="E2" s="25" t="s">
        <v>245</v>
      </c>
      <c r="F2" s="25" t="s">
        <v>239</v>
      </c>
      <c r="G2" s="25" t="s">
        <v>240</v>
      </c>
      <c r="H2" s="25" t="s">
        <v>380</v>
      </c>
      <c r="I2" s="11" t="s">
        <v>248</v>
      </c>
      <c r="J2" s="11" t="s">
        <v>249</v>
      </c>
      <c r="K2" s="247" t="s">
        <v>379</v>
      </c>
      <c r="L2" s="143" t="s">
        <v>3087</v>
      </c>
    </row>
    <row r="3" spans="1:12" s="2" customFormat="1" ht="18" thickBot="1" x14ac:dyDescent="0.3">
      <c r="A3" s="23"/>
      <c r="B3" s="23"/>
      <c r="C3" s="23"/>
      <c r="D3" s="120"/>
      <c r="E3" s="23"/>
      <c r="F3" s="23"/>
      <c r="G3" s="23"/>
      <c r="H3" s="23" t="s">
        <v>381</v>
      </c>
      <c r="I3" s="120"/>
      <c r="J3" s="120"/>
      <c r="K3" s="23" t="s">
        <v>366</v>
      </c>
      <c r="L3" s="123" t="s">
        <v>368</v>
      </c>
    </row>
    <row r="4" spans="1:12" x14ac:dyDescent="0.25">
      <c r="A4" s="26" t="s">
        <v>246</v>
      </c>
      <c r="B4" s="20"/>
      <c r="C4" s="20"/>
      <c r="D4" s="295"/>
      <c r="E4" s="261"/>
      <c r="F4" s="27"/>
      <c r="G4" s="19"/>
      <c r="H4" s="19"/>
      <c r="I4" s="25"/>
      <c r="J4" s="25"/>
      <c r="K4" s="19"/>
      <c r="L4" s="31"/>
    </row>
    <row r="5" spans="1:12" ht="47.25" x14ac:dyDescent="0.25">
      <c r="A5" s="28" t="s">
        <v>252</v>
      </c>
      <c r="B5" s="29" t="s">
        <v>184</v>
      </c>
      <c r="C5" s="30" t="s">
        <v>253</v>
      </c>
      <c r="D5" s="300">
        <v>13674</v>
      </c>
      <c r="E5" s="297">
        <v>1010.5494266321994</v>
      </c>
      <c r="F5" s="31" t="s">
        <v>226</v>
      </c>
      <c r="G5" s="32" t="s">
        <v>226</v>
      </c>
      <c r="H5" s="42">
        <v>114018</v>
      </c>
      <c r="I5" s="31">
        <v>1</v>
      </c>
      <c r="J5" s="31">
        <v>1</v>
      </c>
      <c r="K5" s="33">
        <v>187.5</v>
      </c>
      <c r="L5" s="142">
        <v>2.2486581066147451E-2</v>
      </c>
    </row>
    <row r="6" spans="1:12" ht="33.75" customHeight="1" x14ac:dyDescent="0.25">
      <c r="A6" s="34"/>
      <c r="B6" s="35"/>
      <c r="C6" s="30" t="s">
        <v>185</v>
      </c>
      <c r="D6" s="31">
        <v>1761</v>
      </c>
      <c r="E6" s="298" t="s">
        <v>147</v>
      </c>
      <c r="F6" s="31" t="s">
        <v>227</v>
      </c>
      <c r="G6" s="32" t="s">
        <v>227</v>
      </c>
      <c r="H6" s="42">
        <v>42310</v>
      </c>
      <c r="I6" s="31">
        <v>1</v>
      </c>
      <c r="J6" s="31">
        <v>1</v>
      </c>
      <c r="K6" s="33">
        <v>187.5</v>
      </c>
      <c r="L6" s="142">
        <v>7.8040061451193563E-3</v>
      </c>
    </row>
    <row r="7" spans="1:12" ht="31.5" x14ac:dyDescent="0.25">
      <c r="A7" s="34"/>
      <c r="B7" s="29"/>
      <c r="C7" s="30" t="s">
        <v>186</v>
      </c>
      <c r="D7" s="31">
        <v>17777</v>
      </c>
      <c r="E7" s="297">
        <v>5688.64</v>
      </c>
      <c r="F7" s="31" t="s">
        <v>228</v>
      </c>
      <c r="G7" s="32" t="s">
        <v>228</v>
      </c>
      <c r="H7" s="42">
        <v>221489</v>
      </c>
      <c r="I7" s="31">
        <v>1</v>
      </c>
      <c r="J7" s="31">
        <v>0.05</v>
      </c>
      <c r="K7" s="33">
        <v>187.5</v>
      </c>
      <c r="L7" s="142">
        <v>7.524498959316265E-4</v>
      </c>
    </row>
    <row r="8" spans="1:12" ht="31.5" x14ac:dyDescent="0.25">
      <c r="A8" s="34"/>
      <c r="B8" s="29"/>
      <c r="C8" s="30" t="s">
        <v>187</v>
      </c>
      <c r="D8" s="300">
        <v>3708</v>
      </c>
      <c r="E8" s="297">
        <v>1557.36</v>
      </c>
      <c r="F8" s="31" t="s">
        <v>229</v>
      </c>
      <c r="G8" s="32" t="s">
        <v>229</v>
      </c>
      <c r="H8" s="42">
        <v>357311</v>
      </c>
      <c r="I8" s="31">
        <v>1</v>
      </c>
      <c r="J8" s="31">
        <v>0</v>
      </c>
      <c r="K8" s="33">
        <v>187.5</v>
      </c>
      <c r="L8" s="142">
        <v>0</v>
      </c>
    </row>
    <row r="9" spans="1:12" ht="15.75" x14ac:dyDescent="0.25">
      <c r="A9" s="28" t="s">
        <v>188</v>
      </c>
      <c r="B9" s="29" t="s">
        <v>189</v>
      </c>
      <c r="C9" s="36" t="s">
        <v>190</v>
      </c>
      <c r="D9" s="31">
        <v>37611</v>
      </c>
      <c r="E9" s="297">
        <v>10531.080000000002</v>
      </c>
      <c r="F9" s="31" t="s">
        <v>230</v>
      </c>
      <c r="G9" s="32" t="s">
        <v>231</v>
      </c>
      <c r="H9" s="42">
        <v>221489</v>
      </c>
      <c r="I9" s="31">
        <v>1</v>
      </c>
      <c r="J9" s="31">
        <v>0.8</v>
      </c>
      <c r="K9" s="37">
        <f>(67.5+ 65.4 )/2</f>
        <v>66.45</v>
      </c>
      <c r="L9" s="142">
        <v>9.0271041630999201E-3</v>
      </c>
    </row>
    <row r="10" spans="1:12" ht="15.75" x14ac:dyDescent="0.25">
      <c r="A10" s="28" t="s">
        <v>191</v>
      </c>
      <c r="B10" s="29" t="s">
        <v>192</v>
      </c>
      <c r="C10" s="36" t="s">
        <v>190</v>
      </c>
      <c r="D10" s="300">
        <v>34067</v>
      </c>
      <c r="E10" s="297">
        <v>6132.0599999999995</v>
      </c>
      <c r="F10" s="31" t="s">
        <v>229</v>
      </c>
      <c r="G10" s="32" t="s">
        <v>232</v>
      </c>
      <c r="H10" s="42">
        <v>357311</v>
      </c>
      <c r="I10" s="31">
        <v>1</v>
      </c>
      <c r="J10" s="31">
        <v>0.01</v>
      </c>
      <c r="K10" s="37">
        <v>114</v>
      </c>
      <c r="L10" s="142">
        <v>1.0869077745520905E-4</v>
      </c>
    </row>
    <row r="11" spans="1:12" ht="15.75" x14ac:dyDescent="0.25">
      <c r="A11" s="28" t="s">
        <v>193</v>
      </c>
      <c r="B11" s="29" t="s">
        <v>194</v>
      </c>
      <c r="C11" s="36" t="s">
        <v>190</v>
      </c>
      <c r="D11" s="300">
        <v>3325</v>
      </c>
      <c r="E11" s="297">
        <v>1596</v>
      </c>
      <c r="F11" s="31" t="s">
        <v>229</v>
      </c>
      <c r="G11" s="32" t="s">
        <v>232</v>
      </c>
      <c r="H11" s="42">
        <v>357311</v>
      </c>
      <c r="I11" s="31">
        <v>1</v>
      </c>
      <c r="J11" s="31">
        <v>0.01</v>
      </c>
      <c r="K11" s="38">
        <v>116</v>
      </c>
      <c r="L11" s="142">
        <v>1.0794526385948983E-5</v>
      </c>
    </row>
    <row r="12" spans="1:12" ht="15.75" x14ac:dyDescent="0.25">
      <c r="A12" s="28" t="s">
        <v>195</v>
      </c>
      <c r="B12" s="29" t="s">
        <v>196</v>
      </c>
      <c r="C12" s="36" t="s">
        <v>190</v>
      </c>
      <c r="D12" s="300">
        <v>1989</v>
      </c>
      <c r="E12" s="297">
        <v>954.71999999999991</v>
      </c>
      <c r="F12" s="31" t="s">
        <v>229</v>
      </c>
      <c r="G12" s="32" t="s">
        <v>232</v>
      </c>
      <c r="H12" s="42">
        <v>357311</v>
      </c>
      <c r="I12" s="31">
        <v>1</v>
      </c>
      <c r="J12" s="31">
        <v>0.01</v>
      </c>
      <c r="K12" s="37">
        <f>(39.5 +43.1 )/2</f>
        <v>41.3</v>
      </c>
      <c r="L12" s="142">
        <v>2.2989990307032644E-6</v>
      </c>
    </row>
    <row r="13" spans="1:12" ht="15.75" x14ac:dyDescent="0.25">
      <c r="A13" s="28" t="s">
        <v>197</v>
      </c>
      <c r="B13" s="29" t="s">
        <v>198</v>
      </c>
      <c r="C13" s="36" t="s">
        <v>190</v>
      </c>
      <c r="D13" s="31">
        <v>1145</v>
      </c>
      <c r="E13" s="297">
        <v>950.34999999999991</v>
      </c>
      <c r="F13" s="31" t="s">
        <v>230</v>
      </c>
      <c r="G13" s="32" t="s">
        <v>233</v>
      </c>
      <c r="H13" s="42">
        <v>357311</v>
      </c>
      <c r="I13" s="31">
        <v>1</v>
      </c>
      <c r="J13" s="31">
        <v>0.8</v>
      </c>
      <c r="K13" s="37">
        <f>(87.7 +96.3 )/2</f>
        <v>92</v>
      </c>
      <c r="L13" s="142">
        <v>3.8048006045209081E-4</v>
      </c>
    </row>
    <row r="14" spans="1:12" ht="15.75" x14ac:dyDescent="0.25">
      <c r="A14" s="28"/>
      <c r="B14" s="29"/>
      <c r="C14" s="36"/>
      <c r="D14" s="31">
        <v>1508</v>
      </c>
      <c r="E14" s="297">
        <v>588.12</v>
      </c>
      <c r="F14" s="31" t="s">
        <v>229</v>
      </c>
      <c r="G14" s="32" t="s">
        <v>233</v>
      </c>
      <c r="H14" s="42">
        <v>221489</v>
      </c>
      <c r="I14" s="31">
        <v>1</v>
      </c>
      <c r="J14" s="31">
        <v>0</v>
      </c>
      <c r="K14" s="37">
        <f>(87.7 +96.3 )/2</f>
        <v>92</v>
      </c>
      <c r="L14" s="142">
        <v>0</v>
      </c>
    </row>
    <row r="15" spans="1:12" ht="15.75" x14ac:dyDescent="0.25">
      <c r="A15" s="28" t="s">
        <v>199</v>
      </c>
      <c r="B15" s="29" t="s">
        <v>200</v>
      </c>
      <c r="C15" s="36" t="s">
        <v>190</v>
      </c>
      <c r="D15" s="300">
        <v>6575</v>
      </c>
      <c r="E15" s="297">
        <v>2367</v>
      </c>
      <c r="F15" s="31" t="s">
        <v>229</v>
      </c>
      <c r="G15" s="32" t="s">
        <v>232</v>
      </c>
      <c r="H15" s="44">
        <v>357311</v>
      </c>
      <c r="I15" s="31">
        <v>0.5</v>
      </c>
      <c r="J15" s="31">
        <v>0.01</v>
      </c>
      <c r="K15" s="37">
        <f>(46.8 +46.8)/2</f>
        <v>46.8</v>
      </c>
      <c r="L15" s="142">
        <v>4.3059161449576883E-6</v>
      </c>
    </row>
    <row r="16" spans="1:12" ht="15.75" x14ac:dyDescent="0.25">
      <c r="A16" s="28" t="s">
        <v>201</v>
      </c>
      <c r="B16" s="29" t="s">
        <v>202</v>
      </c>
      <c r="C16" s="36" t="s">
        <v>190</v>
      </c>
      <c r="D16" s="31">
        <v>726</v>
      </c>
      <c r="E16" s="297">
        <v>508.2</v>
      </c>
      <c r="F16" s="31" t="s">
        <v>229</v>
      </c>
      <c r="G16" s="32" t="s">
        <v>232</v>
      </c>
      <c r="H16" s="44">
        <v>357311</v>
      </c>
      <c r="I16" s="31">
        <v>1</v>
      </c>
      <c r="J16" s="31">
        <v>0.01</v>
      </c>
      <c r="K16" s="37">
        <f>(95.4+ 95.4)/2</f>
        <v>95.4</v>
      </c>
      <c r="L16" s="142">
        <v>1.9383801278231292E-6</v>
      </c>
    </row>
    <row r="17" spans="1:12" ht="30" x14ac:dyDescent="0.25">
      <c r="A17" s="28" t="s">
        <v>203</v>
      </c>
      <c r="B17" s="29" t="s">
        <v>204</v>
      </c>
      <c r="C17" s="36" t="s">
        <v>190</v>
      </c>
      <c r="D17" s="300">
        <v>1589</v>
      </c>
      <c r="E17" s="297">
        <v>429.03000000000003</v>
      </c>
      <c r="F17" s="31" t="s">
        <v>229</v>
      </c>
      <c r="G17" s="32" t="s">
        <v>234</v>
      </c>
      <c r="H17" s="44">
        <v>357311</v>
      </c>
      <c r="I17" s="39">
        <v>1</v>
      </c>
      <c r="J17" s="31">
        <v>0.05</v>
      </c>
      <c r="K17" s="33">
        <v>224</v>
      </c>
      <c r="L17" s="142">
        <v>4.9807629552879655E-5</v>
      </c>
    </row>
    <row r="18" spans="1:12" ht="15.75" x14ac:dyDescent="0.25">
      <c r="A18" s="28" t="s">
        <v>205</v>
      </c>
      <c r="B18" s="29" t="s">
        <v>206</v>
      </c>
      <c r="C18" s="36" t="s">
        <v>190</v>
      </c>
      <c r="D18" s="300">
        <v>2283</v>
      </c>
      <c r="E18" s="297">
        <v>1735.08</v>
      </c>
      <c r="F18" s="31" t="s">
        <v>229</v>
      </c>
      <c r="G18" s="32" t="s">
        <v>232</v>
      </c>
      <c r="H18" s="42">
        <v>357311</v>
      </c>
      <c r="I18" s="31">
        <v>1</v>
      </c>
      <c r="J18" s="31">
        <v>0.01</v>
      </c>
      <c r="K18" s="37">
        <f>(105 +104 )/2</f>
        <v>104.5</v>
      </c>
      <c r="L18" s="142">
        <v>6.6769197322743044E-6</v>
      </c>
    </row>
    <row r="19" spans="1:12" ht="15.75" x14ac:dyDescent="0.25">
      <c r="A19" s="28" t="s">
        <v>207</v>
      </c>
      <c r="B19" s="29" t="s">
        <v>208</v>
      </c>
      <c r="C19" s="36" t="s">
        <v>190</v>
      </c>
      <c r="D19" s="31">
        <v>716</v>
      </c>
      <c r="E19" s="297">
        <v>243.44000000000003</v>
      </c>
      <c r="F19" s="31" t="s">
        <v>229</v>
      </c>
      <c r="G19" s="32" t="s">
        <v>235</v>
      </c>
      <c r="H19" s="42">
        <v>357311</v>
      </c>
      <c r="I19" s="39">
        <v>1</v>
      </c>
      <c r="J19" s="31">
        <v>0.05</v>
      </c>
      <c r="K19" s="33">
        <v>643</v>
      </c>
      <c r="L19" s="142">
        <v>6.4424039587429097E-5</v>
      </c>
    </row>
    <row r="20" spans="1:12" ht="15.75" x14ac:dyDescent="0.25">
      <c r="A20" s="28"/>
      <c r="B20" s="29"/>
      <c r="C20" s="36"/>
      <c r="D20" s="31"/>
      <c r="E20" s="297"/>
      <c r="F20" s="31"/>
      <c r="G20" s="32"/>
      <c r="H20" s="37"/>
      <c r="I20" s="39"/>
      <c r="J20" s="31"/>
      <c r="K20" s="33"/>
      <c r="L20" s="142"/>
    </row>
    <row r="21" spans="1:12" ht="15.75" x14ac:dyDescent="0.25">
      <c r="A21" s="40" t="s">
        <v>250</v>
      </c>
      <c r="B21" s="141" t="s">
        <v>247</v>
      </c>
      <c r="C21" s="41"/>
      <c r="D21" s="31"/>
      <c r="E21" s="297"/>
      <c r="F21" s="31"/>
      <c r="G21" s="32"/>
      <c r="H21" s="37"/>
      <c r="I21" s="31"/>
      <c r="J21" s="31"/>
      <c r="K21" s="31"/>
      <c r="L21" s="142"/>
    </row>
    <row r="22" spans="1:12" ht="15.75" x14ac:dyDescent="0.25">
      <c r="A22" s="28" t="s">
        <v>209</v>
      </c>
      <c r="B22" s="29" t="s">
        <v>210</v>
      </c>
      <c r="C22" s="36" t="s">
        <v>190</v>
      </c>
      <c r="D22" s="31">
        <v>1665</v>
      </c>
      <c r="E22" s="297">
        <v>333</v>
      </c>
      <c r="F22" s="31" t="s">
        <v>229</v>
      </c>
      <c r="G22" s="32" t="s">
        <v>236</v>
      </c>
      <c r="H22" s="42">
        <v>357311</v>
      </c>
      <c r="I22" s="31">
        <v>1</v>
      </c>
      <c r="J22" s="31">
        <v>0.01</v>
      </c>
      <c r="K22" s="31">
        <f>(10098+ 26939)/2</f>
        <v>18518.5</v>
      </c>
      <c r="L22" s="142">
        <v>8.6292687944567457E-4</v>
      </c>
    </row>
    <row r="23" spans="1:12" ht="15.75" x14ac:dyDescent="0.25">
      <c r="A23" s="28" t="s">
        <v>211</v>
      </c>
      <c r="B23" s="29" t="s">
        <v>212</v>
      </c>
      <c r="C23" s="36" t="s">
        <v>213</v>
      </c>
      <c r="D23" s="31">
        <v>65</v>
      </c>
      <c r="E23" s="297">
        <v>43.550000000000004</v>
      </c>
      <c r="F23" s="31" t="s">
        <v>229</v>
      </c>
      <c r="G23" s="32" t="s">
        <v>232</v>
      </c>
      <c r="H23" s="42">
        <v>357311</v>
      </c>
      <c r="I23" s="31">
        <v>1</v>
      </c>
      <c r="J23" s="31">
        <v>0.01</v>
      </c>
      <c r="K23" s="33">
        <v>828</v>
      </c>
      <c r="L23" s="142">
        <v>1.5062520354985073E-6</v>
      </c>
    </row>
    <row r="24" spans="1:12" ht="15.75" x14ac:dyDescent="0.25">
      <c r="A24" s="28" t="s">
        <v>214</v>
      </c>
      <c r="B24" s="29" t="s">
        <v>215</v>
      </c>
      <c r="C24" s="36" t="s">
        <v>213</v>
      </c>
      <c r="D24" s="31">
        <v>57</v>
      </c>
      <c r="E24" s="297">
        <v>79.8</v>
      </c>
      <c r="F24" s="31" t="s">
        <v>229</v>
      </c>
      <c r="G24" s="32" t="s">
        <v>232</v>
      </c>
      <c r="H24" s="42">
        <v>357311</v>
      </c>
      <c r="I24" s="31">
        <v>1</v>
      </c>
      <c r="J24" s="31">
        <v>0.01</v>
      </c>
      <c r="K24" s="33">
        <v>449</v>
      </c>
      <c r="L24" s="142">
        <v>7.1626734196420093E-7</v>
      </c>
    </row>
    <row r="25" spans="1:12" ht="15.75" x14ac:dyDescent="0.25">
      <c r="A25" s="28" t="s">
        <v>216</v>
      </c>
      <c r="B25" s="29" t="s">
        <v>217</v>
      </c>
      <c r="C25" s="36" t="s">
        <v>190</v>
      </c>
      <c r="D25" s="31">
        <v>49</v>
      </c>
      <c r="E25" s="297">
        <v>37.730000000000004</v>
      </c>
      <c r="F25" s="31" t="s">
        <v>229</v>
      </c>
      <c r="G25" s="32" t="s">
        <v>237</v>
      </c>
      <c r="H25" s="42">
        <v>357311</v>
      </c>
      <c r="I25" s="31">
        <v>1</v>
      </c>
      <c r="J25" s="31">
        <v>0</v>
      </c>
      <c r="K25" s="33">
        <v>2280.5</v>
      </c>
      <c r="L25" s="142">
        <v>0</v>
      </c>
    </row>
    <row r="26" spans="1:12" ht="15.75" x14ac:dyDescent="0.25">
      <c r="A26" s="28" t="s">
        <v>218</v>
      </c>
      <c r="B26" s="29" t="s">
        <v>219</v>
      </c>
      <c r="C26" s="36" t="s">
        <v>190</v>
      </c>
      <c r="D26" s="31">
        <v>777</v>
      </c>
      <c r="E26" s="297">
        <v>435.12000000000006</v>
      </c>
      <c r="F26" s="31" t="s">
        <v>229</v>
      </c>
      <c r="G26" s="32" t="s">
        <v>232</v>
      </c>
      <c r="H26" s="42">
        <v>357311</v>
      </c>
      <c r="I26" s="31">
        <v>0.5</v>
      </c>
      <c r="J26" s="31">
        <v>5.0000000000000001E-3</v>
      </c>
      <c r="K26" s="37">
        <f>(464 +692 )/2</f>
        <v>578</v>
      </c>
      <c r="L26" s="142">
        <v>3.1422650810785609E-6</v>
      </c>
    </row>
    <row r="27" spans="1:12" ht="15.75" x14ac:dyDescent="0.25">
      <c r="A27" s="28" t="s">
        <v>220</v>
      </c>
      <c r="B27" s="29" t="s">
        <v>221</v>
      </c>
      <c r="C27" s="36" t="s">
        <v>190</v>
      </c>
      <c r="D27" s="31">
        <v>323</v>
      </c>
      <c r="E27" s="297">
        <v>193.79999999999998</v>
      </c>
      <c r="F27" s="31" t="s">
        <v>229</v>
      </c>
      <c r="G27" s="32" t="s">
        <v>232</v>
      </c>
      <c r="H27" s="42">
        <v>357311</v>
      </c>
      <c r="I27" s="31">
        <v>1</v>
      </c>
      <c r="J27" s="31">
        <v>5.0000000000000001E-3</v>
      </c>
      <c r="K27" s="37">
        <f>(78 +117 )/2</f>
        <v>97.5</v>
      </c>
      <c r="L27" s="142">
        <v>4.4068786908153789E-7</v>
      </c>
    </row>
    <row r="28" spans="1:12" ht="15.75" x14ac:dyDescent="0.25">
      <c r="A28" s="28" t="s">
        <v>222</v>
      </c>
      <c r="B28" s="29" t="s">
        <v>223</v>
      </c>
      <c r="C28" s="36" t="s">
        <v>190</v>
      </c>
      <c r="D28" s="31">
        <v>453</v>
      </c>
      <c r="E28" s="297">
        <v>158.54999999999998</v>
      </c>
      <c r="F28" s="31" t="s">
        <v>229</v>
      </c>
      <c r="G28" s="32" t="s">
        <v>238</v>
      </c>
      <c r="H28" s="42">
        <v>357311</v>
      </c>
      <c r="I28" s="31">
        <v>1</v>
      </c>
      <c r="J28" s="31">
        <v>0.05</v>
      </c>
      <c r="K28" s="37">
        <f>(101+177)/2</f>
        <v>139</v>
      </c>
      <c r="L28" s="142">
        <v>8.8112385655178849E-6</v>
      </c>
    </row>
    <row r="29" spans="1:12" ht="15.75" x14ac:dyDescent="0.25">
      <c r="A29" s="28"/>
      <c r="B29" s="29"/>
      <c r="C29" s="36"/>
      <c r="D29" s="31"/>
      <c r="E29" s="297"/>
      <c r="F29" s="31"/>
      <c r="G29" s="32"/>
      <c r="H29" s="37"/>
      <c r="I29" s="31"/>
      <c r="J29" s="31"/>
      <c r="K29" s="37"/>
      <c r="L29" s="142"/>
    </row>
    <row r="30" spans="1:12" x14ac:dyDescent="0.25">
      <c r="A30" s="40" t="s">
        <v>251</v>
      </c>
      <c r="B30" s="41"/>
      <c r="C30" s="41"/>
      <c r="D30" s="31"/>
      <c r="E30" s="297"/>
      <c r="F30" s="31"/>
      <c r="G30" s="32"/>
      <c r="H30" s="37"/>
      <c r="I30" s="31"/>
      <c r="J30" s="31"/>
      <c r="K30" s="31"/>
      <c r="L30" s="142"/>
    </row>
    <row r="31" spans="1:12" ht="16.5" thickBot="1" x14ac:dyDescent="0.3">
      <c r="A31" s="127" t="s">
        <v>224</v>
      </c>
      <c r="B31" s="128" t="s">
        <v>225</v>
      </c>
      <c r="C31" s="129" t="s">
        <v>190</v>
      </c>
      <c r="D31" s="124">
        <v>15</v>
      </c>
      <c r="E31" s="299">
        <v>29.7</v>
      </c>
      <c r="F31" s="124" t="s">
        <v>229</v>
      </c>
      <c r="G31" s="123" t="s">
        <v>236</v>
      </c>
      <c r="H31" s="43">
        <v>357311</v>
      </c>
      <c r="I31" s="124">
        <v>1</v>
      </c>
      <c r="J31" s="124">
        <v>0.05</v>
      </c>
      <c r="K31" s="124">
        <f>(16905 + 15381)/2</f>
        <v>16143</v>
      </c>
      <c r="L31" s="130">
        <v>3.3884373758434226E-5</v>
      </c>
    </row>
  </sheetData>
  <mergeCells count="1">
    <mergeCell ref="A1:L1"/>
  </mergeCells>
  <conditionalFormatting sqref="L13:L31">
    <cfRule type="cellIs" dxfId="0" priority="1" operator="equal">
      <formula>0</formula>
    </cfRule>
  </conditionalFormatting>
  <pageMargins left="0.7" right="0.7" top="0.75" bottom="0.75" header="0.3" footer="0.3"/>
  <pageSetup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election activeCell="D11" sqref="D11"/>
    </sheetView>
  </sheetViews>
  <sheetFormatPr defaultColWidth="30.5703125" defaultRowHeight="15" x14ac:dyDescent="0.25"/>
  <cols>
    <col min="1" max="1" width="44.28515625" customWidth="1"/>
    <col min="2" max="2" width="26" customWidth="1"/>
    <col min="3" max="3" width="11.28515625" bestFit="1" customWidth="1"/>
    <col min="4" max="4" width="60.42578125" customWidth="1"/>
  </cols>
  <sheetData>
    <row r="1" spans="1:4" ht="30.75" customHeight="1" thickBot="1" x14ac:dyDescent="0.3">
      <c r="A1" s="455" t="s">
        <v>3080</v>
      </c>
      <c r="B1" s="455"/>
      <c r="C1" s="455"/>
      <c r="D1" s="455"/>
    </row>
    <row r="2" spans="1:4" ht="15.75" thickBot="1" x14ac:dyDescent="0.3">
      <c r="A2" s="46" t="s">
        <v>242</v>
      </c>
      <c r="B2" s="46" t="s">
        <v>243</v>
      </c>
      <c r="C2" s="229" t="s">
        <v>626</v>
      </c>
      <c r="D2" s="46" t="s">
        <v>619</v>
      </c>
    </row>
    <row r="3" spans="1:4" x14ac:dyDescent="0.25">
      <c r="A3" s="230" t="s">
        <v>627</v>
      </c>
      <c r="B3" s="32"/>
      <c r="C3" s="231"/>
      <c r="D3" s="32"/>
    </row>
    <row r="4" spans="1:4" x14ac:dyDescent="0.25">
      <c r="A4" s="456" t="s">
        <v>628</v>
      </c>
      <c r="B4" s="457" t="s">
        <v>184</v>
      </c>
      <c r="C4" s="458">
        <v>187.5</v>
      </c>
      <c r="D4" s="454" t="s">
        <v>3129</v>
      </c>
    </row>
    <row r="5" spans="1:4" ht="21" customHeight="1" x14ac:dyDescent="0.25">
      <c r="A5" s="456"/>
      <c r="B5" s="457"/>
      <c r="C5" s="458"/>
      <c r="D5" s="454"/>
    </row>
    <row r="6" spans="1:4" x14ac:dyDescent="0.25">
      <c r="A6" s="32" t="s">
        <v>629</v>
      </c>
      <c r="B6" s="230" t="s">
        <v>630</v>
      </c>
      <c r="C6" s="231">
        <v>643</v>
      </c>
      <c r="D6" s="454" t="s">
        <v>3129</v>
      </c>
    </row>
    <row r="7" spans="1:4" x14ac:dyDescent="0.25">
      <c r="A7" s="32" t="s">
        <v>631</v>
      </c>
      <c r="B7" s="230" t="s">
        <v>204</v>
      </c>
      <c r="C7" s="231">
        <v>224</v>
      </c>
      <c r="D7" s="454"/>
    </row>
    <row r="8" spans="1:4" ht="27.75" customHeight="1" x14ac:dyDescent="0.25">
      <c r="A8" s="32" t="s">
        <v>632</v>
      </c>
      <c r="B8" s="230" t="s">
        <v>189</v>
      </c>
      <c r="C8" s="233">
        <v>66.45</v>
      </c>
      <c r="D8" s="32" t="s">
        <v>3129</v>
      </c>
    </row>
    <row r="9" spans="1:4" ht="45" x14ac:dyDescent="0.25">
      <c r="A9" s="32" t="s">
        <v>633</v>
      </c>
      <c r="B9" s="230" t="s">
        <v>634</v>
      </c>
      <c r="C9" s="231">
        <v>114</v>
      </c>
      <c r="D9" s="234" t="s">
        <v>635</v>
      </c>
    </row>
    <row r="10" spans="1:4" x14ac:dyDescent="0.25">
      <c r="A10" s="230" t="s">
        <v>636</v>
      </c>
      <c r="B10" s="32"/>
      <c r="C10" s="231"/>
      <c r="D10" s="32"/>
    </row>
    <row r="11" spans="1:4" x14ac:dyDescent="0.25">
      <c r="A11" s="235" t="s">
        <v>637</v>
      </c>
      <c r="B11" s="236" t="s">
        <v>482</v>
      </c>
      <c r="C11" s="237">
        <v>199.58099999999999</v>
      </c>
      <c r="D11" s="32" t="s">
        <v>3142</v>
      </c>
    </row>
    <row r="12" spans="1:4" x14ac:dyDescent="0.25">
      <c r="A12" s="32" t="s">
        <v>638</v>
      </c>
      <c r="B12" s="230" t="s">
        <v>639</v>
      </c>
      <c r="C12" s="231">
        <v>40.5</v>
      </c>
      <c r="D12" s="32" t="s">
        <v>3145</v>
      </c>
    </row>
    <row r="13" spans="1:4" x14ac:dyDescent="0.25">
      <c r="A13" s="32" t="s">
        <v>640</v>
      </c>
      <c r="B13" s="230" t="s">
        <v>484</v>
      </c>
      <c r="C13" s="233">
        <v>90.91</v>
      </c>
      <c r="D13" s="32" t="s">
        <v>3143</v>
      </c>
    </row>
    <row r="14" spans="1:4" ht="15.75" thickBot="1" x14ac:dyDescent="0.3">
      <c r="A14" s="123" t="s">
        <v>641</v>
      </c>
      <c r="B14" s="238" t="s">
        <v>488</v>
      </c>
      <c r="C14" s="239">
        <v>392.6</v>
      </c>
      <c r="D14" s="123" t="s">
        <v>3128</v>
      </c>
    </row>
    <row r="15" spans="1:4" x14ac:dyDescent="0.25">
      <c r="A15" s="64"/>
      <c r="B15" s="64"/>
      <c r="C15" s="47"/>
      <c r="D15" s="47"/>
    </row>
    <row r="18" spans="1:1" x14ac:dyDescent="0.25">
      <c r="A18" s="9"/>
    </row>
  </sheetData>
  <mergeCells count="6">
    <mergeCell ref="D6:D7"/>
    <mergeCell ref="A1:D1"/>
    <mergeCell ref="A4:A5"/>
    <mergeCell ref="B4:B5"/>
    <mergeCell ref="C4:C5"/>
    <mergeCell ref="D4:D5"/>
  </mergeCells>
  <hyperlinks>
    <hyperlink ref="D9" r:id="rId1" display="../../../../../Kelly/Dropbox/Lenfest/GoMex Model/Model dev ms/www.nmfs.noaa.gov/pr/species/mammals/cetaceans/spotteddolphin_pantropical.htm"/>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zoomScale="70" zoomScaleNormal="70" workbookViewId="0">
      <selection activeCell="E16" sqref="E16"/>
    </sheetView>
  </sheetViews>
  <sheetFormatPr defaultRowHeight="15" x14ac:dyDescent="0.25"/>
  <cols>
    <col min="1" max="1" width="41" customWidth="1"/>
    <col min="2" max="2" width="11.7109375" customWidth="1"/>
    <col min="3" max="3" width="17.28515625" customWidth="1"/>
    <col min="4" max="4" width="40.85546875" bestFit="1" customWidth="1"/>
    <col min="5" max="5" width="60.85546875" style="296" customWidth="1"/>
    <col min="6" max="6" width="16.85546875" customWidth="1"/>
  </cols>
  <sheetData>
    <row r="1" spans="1:6" ht="31.5" customHeight="1" thickBot="1" x14ac:dyDescent="0.3">
      <c r="A1" s="433" t="s">
        <v>2932</v>
      </c>
      <c r="B1" s="433"/>
      <c r="C1" s="433"/>
      <c r="D1" s="433"/>
      <c r="E1" s="433"/>
      <c r="F1" s="433"/>
    </row>
    <row r="2" spans="1:6" ht="16.5" thickBot="1" x14ac:dyDescent="0.3">
      <c r="A2" s="303" t="s">
        <v>618</v>
      </c>
      <c r="B2" s="303" t="s">
        <v>2889</v>
      </c>
      <c r="C2" s="303" t="s">
        <v>2888</v>
      </c>
      <c r="D2" s="303" t="s">
        <v>2918</v>
      </c>
      <c r="E2" s="303" t="s">
        <v>2886</v>
      </c>
      <c r="F2" s="303" t="s">
        <v>620</v>
      </c>
    </row>
    <row r="3" spans="1:6" ht="33" customHeight="1" x14ac:dyDescent="0.25">
      <c r="A3" s="304" t="s">
        <v>2881</v>
      </c>
      <c r="B3" s="305" t="s">
        <v>147</v>
      </c>
      <c r="C3" s="305" t="s">
        <v>147</v>
      </c>
      <c r="D3" s="36" t="s">
        <v>2882</v>
      </c>
      <c r="E3" s="306" t="s">
        <v>2883</v>
      </c>
      <c r="F3" s="307">
        <v>39717</v>
      </c>
    </row>
    <row r="4" spans="1:6" ht="18.75" customHeight="1" x14ac:dyDescent="0.25">
      <c r="A4" s="308" t="s">
        <v>2878</v>
      </c>
      <c r="B4" s="308" t="s">
        <v>2890</v>
      </c>
      <c r="C4" s="308" t="s">
        <v>2879</v>
      </c>
      <c r="D4" s="308" t="s">
        <v>2926</v>
      </c>
      <c r="E4" s="309" t="s">
        <v>2898</v>
      </c>
      <c r="F4" s="310"/>
    </row>
    <row r="5" spans="1:6" ht="39.75" customHeight="1" x14ac:dyDescent="0.25">
      <c r="A5" s="308"/>
      <c r="B5" s="308"/>
      <c r="C5" s="308" t="s">
        <v>2880</v>
      </c>
      <c r="D5" s="308" t="s">
        <v>2927</v>
      </c>
      <c r="E5" s="309" t="s">
        <v>2898</v>
      </c>
      <c r="F5" s="311">
        <v>41290</v>
      </c>
    </row>
    <row r="6" spans="1:6" ht="32.25" customHeight="1" x14ac:dyDescent="0.25">
      <c r="A6" s="304" t="s">
        <v>2884</v>
      </c>
      <c r="B6" s="304" t="s">
        <v>2891</v>
      </c>
      <c r="C6" s="304">
        <v>2004</v>
      </c>
      <c r="D6" s="304" t="s">
        <v>2928</v>
      </c>
      <c r="E6" s="312" t="s">
        <v>147</v>
      </c>
      <c r="F6" s="313">
        <v>41290</v>
      </c>
    </row>
    <row r="7" spans="1:6" ht="84.75" customHeight="1" x14ac:dyDescent="0.25">
      <c r="A7" s="308" t="s">
        <v>2894</v>
      </c>
      <c r="B7" s="308" t="s">
        <v>2890</v>
      </c>
      <c r="C7" s="308" t="s">
        <v>2892</v>
      </c>
      <c r="D7" s="308" t="s">
        <v>2885</v>
      </c>
      <c r="E7" s="314" t="s">
        <v>2887</v>
      </c>
      <c r="F7" s="315" t="s">
        <v>147</v>
      </c>
    </row>
    <row r="8" spans="1:6" ht="47.25" x14ac:dyDescent="0.25">
      <c r="A8" s="308"/>
      <c r="B8" s="308" t="s">
        <v>2893</v>
      </c>
      <c r="C8" s="308" t="s">
        <v>2919</v>
      </c>
      <c r="D8" s="308" t="s">
        <v>3091</v>
      </c>
      <c r="E8" s="314" t="s">
        <v>3090</v>
      </c>
      <c r="F8" s="315" t="s">
        <v>147</v>
      </c>
    </row>
    <row r="9" spans="1:6" ht="137.25" customHeight="1" x14ac:dyDescent="0.25">
      <c r="A9" s="304" t="s">
        <v>2895</v>
      </c>
      <c r="B9" s="304" t="s">
        <v>2890</v>
      </c>
      <c r="C9" s="304" t="s">
        <v>2896</v>
      </c>
      <c r="D9" s="304" t="s">
        <v>2929</v>
      </c>
      <c r="E9" s="306" t="s">
        <v>2899</v>
      </c>
      <c r="F9" s="307">
        <v>40990</v>
      </c>
    </row>
    <row r="10" spans="1:6" ht="36" customHeight="1" x14ac:dyDescent="0.25">
      <c r="A10" s="308" t="s">
        <v>2900</v>
      </c>
      <c r="B10" s="308" t="s">
        <v>2890</v>
      </c>
      <c r="C10" s="308" t="s">
        <v>2896</v>
      </c>
      <c r="D10" s="308" t="s">
        <v>2897</v>
      </c>
      <c r="E10" s="316" t="s">
        <v>2899</v>
      </c>
      <c r="F10" s="310">
        <v>40990</v>
      </c>
    </row>
    <row r="11" spans="1:6" ht="18" x14ac:dyDescent="0.25">
      <c r="A11" s="308"/>
      <c r="B11" s="317" t="s">
        <v>147</v>
      </c>
      <c r="C11" s="308">
        <v>2012</v>
      </c>
      <c r="D11" s="317" t="s">
        <v>147</v>
      </c>
      <c r="E11" s="308" t="s">
        <v>2901</v>
      </c>
      <c r="F11" s="315" t="s">
        <v>147</v>
      </c>
    </row>
    <row r="12" spans="1:6" ht="35.25" customHeight="1" x14ac:dyDescent="0.25">
      <c r="A12" s="304" t="s">
        <v>2902</v>
      </c>
      <c r="B12" s="318" t="s">
        <v>2923</v>
      </c>
      <c r="C12" s="319" t="s">
        <v>2925</v>
      </c>
      <c r="D12" s="318" t="s">
        <v>2903</v>
      </c>
      <c r="E12" s="407" t="s">
        <v>3047</v>
      </c>
      <c r="F12" s="307"/>
    </row>
    <row r="13" spans="1:6" ht="47.25" customHeight="1" x14ac:dyDescent="0.25">
      <c r="A13" s="304"/>
      <c r="B13" s="318" t="s">
        <v>2923</v>
      </c>
      <c r="C13" s="320" t="s">
        <v>2924</v>
      </c>
      <c r="D13" s="318" t="s">
        <v>2904</v>
      </c>
      <c r="E13" s="306" t="s">
        <v>2905</v>
      </c>
      <c r="F13" s="307">
        <v>41296</v>
      </c>
    </row>
    <row r="14" spans="1:6" ht="24.75" customHeight="1" x14ac:dyDescent="0.25">
      <c r="A14" s="308" t="s">
        <v>3092</v>
      </c>
      <c r="B14" s="317" t="s">
        <v>147</v>
      </c>
      <c r="C14" s="308" t="s">
        <v>2908</v>
      </c>
      <c r="D14" s="317" t="s">
        <v>147</v>
      </c>
      <c r="E14" s="321" t="s">
        <v>2906</v>
      </c>
      <c r="F14" s="310"/>
    </row>
    <row r="15" spans="1:6" ht="34.5" customHeight="1" x14ac:dyDescent="0.25">
      <c r="A15" s="304" t="s">
        <v>372</v>
      </c>
      <c r="B15" s="305" t="s">
        <v>147</v>
      </c>
      <c r="C15" s="304" t="s">
        <v>2917</v>
      </c>
      <c r="D15" s="305" t="s">
        <v>147</v>
      </c>
      <c r="E15" s="322" t="s">
        <v>2907</v>
      </c>
      <c r="F15" s="323" t="s">
        <v>147</v>
      </c>
    </row>
    <row r="16" spans="1:6" ht="57" customHeight="1" x14ac:dyDescent="0.25">
      <c r="A16" s="324" t="s">
        <v>2931</v>
      </c>
      <c r="B16" s="324" t="s">
        <v>2890</v>
      </c>
      <c r="C16" s="324" t="s">
        <v>2912</v>
      </c>
      <c r="D16" s="324" t="s">
        <v>2911</v>
      </c>
      <c r="E16" s="413" t="s">
        <v>3062</v>
      </c>
      <c r="F16" s="325">
        <v>41806</v>
      </c>
    </row>
    <row r="17" spans="1:6" ht="50.25" customHeight="1" x14ac:dyDescent="0.25">
      <c r="A17" s="304" t="s">
        <v>2915</v>
      </c>
      <c r="B17" s="305" t="s">
        <v>147</v>
      </c>
      <c r="C17" s="304" t="s">
        <v>2916</v>
      </c>
      <c r="D17" s="305" t="s">
        <v>147</v>
      </c>
      <c r="E17" s="414" t="s">
        <v>2914</v>
      </c>
      <c r="F17" s="305" t="s">
        <v>147</v>
      </c>
    </row>
    <row r="18" spans="1:6" ht="63" customHeight="1" x14ac:dyDescent="0.25">
      <c r="A18" s="324" t="s">
        <v>2930</v>
      </c>
      <c r="B18" s="324" t="s">
        <v>2913</v>
      </c>
      <c r="C18" s="324" t="s">
        <v>621</v>
      </c>
      <c r="D18" s="434" t="s">
        <v>2910</v>
      </c>
      <c r="E18" s="415" t="s">
        <v>622</v>
      </c>
      <c r="F18" s="325">
        <v>41697</v>
      </c>
    </row>
    <row r="19" spans="1:6" ht="39" customHeight="1" x14ac:dyDescent="0.25">
      <c r="A19" s="324"/>
      <c r="B19" s="324"/>
      <c r="C19" s="324"/>
      <c r="D19" s="434"/>
      <c r="E19" s="415" t="s">
        <v>3063</v>
      </c>
      <c r="F19" s="325"/>
    </row>
    <row r="20" spans="1:6" ht="63.75" thickBot="1" x14ac:dyDescent="0.3">
      <c r="A20" s="326"/>
      <c r="B20" s="326" t="s">
        <v>2913</v>
      </c>
      <c r="C20" s="326" t="s">
        <v>623</v>
      </c>
      <c r="D20" s="326" t="s">
        <v>2909</v>
      </c>
      <c r="E20" s="327" t="s">
        <v>624</v>
      </c>
      <c r="F20" s="328">
        <v>41701</v>
      </c>
    </row>
  </sheetData>
  <mergeCells count="2">
    <mergeCell ref="A1:F1"/>
    <mergeCell ref="D18:D19"/>
  </mergeCells>
  <hyperlinks>
    <hyperlink ref="E13" r:id="rId1" display="http://www.nmfs.noaa.gov/pr/species/mammals/cetaceans/spotteddolphin_pantropical.htm"/>
    <hyperlink ref="E4" r:id="rId2"/>
    <hyperlink ref="E5" r:id="rId3"/>
    <hyperlink ref="E3" r:id="rId4"/>
    <hyperlink ref="E9" r:id="rId5"/>
    <hyperlink ref="E10" r:id="rId6"/>
    <hyperlink ref="E16" r:id="rId7"/>
    <hyperlink ref="E18" r:id="rId8"/>
    <hyperlink ref="E20" r:id="rId9"/>
  </hyperlinks>
  <pageMargins left="0.7" right="0.7" top="0.75" bottom="0.75" header="0.3" footer="0.3"/>
  <pageSetup orientation="portrait" verticalDpi="0" r:id="rId1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selection sqref="A1:J1"/>
    </sheetView>
  </sheetViews>
  <sheetFormatPr defaultRowHeight="15" x14ac:dyDescent="0.25"/>
  <cols>
    <col min="1" max="1" width="20.28515625" customWidth="1"/>
    <col min="2" max="2" width="19.28515625" customWidth="1"/>
    <col min="4" max="4" width="12.7109375" customWidth="1"/>
    <col min="5" max="5" width="38.85546875" customWidth="1"/>
    <col min="6" max="6" width="13.28515625" customWidth="1"/>
    <col min="7" max="7" width="13.42578125" customWidth="1"/>
    <col min="8" max="8" width="17.5703125" customWidth="1"/>
    <col min="9" max="9" width="12.42578125" customWidth="1"/>
    <col min="10" max="10" width="13.140625" customWidth="1"/>
  </cols>
  <sheetData>
    <row r="1" spans="1:10" ht="63.75" customHeight="1" thickBot="1" x14ac:dyDescent="0.3">
      <c r="A1" s="459" t="s">
        <v>3081</v>
      </c>
      <c r="B1" s="459"/>
      <c r="C1" s="459"/>
      <c r="D1" s="459"/>
      <c r="E1" s="459"/>
      <c r="F1" s="459"/>
      <c r="G1" s="459"/>
      <c r="H1" s="459"/>
      <c r="I1" s="459"/>
      <c r="J1" s="459"/>
    </row>
    <row r="2" spans="1:10" ht="30" x14ac:dyDescent="0.25">
      <c r="A2" s="69" t="s">
        <v>242</v>
      </c>
      <c r="B2" s="20" t="s">
        <v>243</v>
      </c>
      <c r="C2" s="45" t="s">
        <v>362</v>
      </c>
      <c r="D2" s="45" t="s">
        <v>646</v>
      </c>
      <c r="E2" s="45" t="s">
        <v>647</v>
      </c>
      <c r="F2" s="271" t="s">
        <v>363</v>
      </c>
      <c r="G2" s="271" t="s">
        <v>364</v>
      </c>
      <c r="H2" s="271" t="s">
        <v>365</v>
      </c>
      <c r="I2" s="271" t="s">
        <v>363</v>
      </c>
      <c r="J2" s="271" t="s">
        <v>364</v>
      </c>
    </row>
    <row r="3" spans="1:10" ht="19.5" customHeight="1" thickBot="1" x14ac:dyDescent="0.3">
      <c r="A3" s="46"/>
      <c r="B3" s="22"/>
      <c r="C3" s="46"/>
      <c r="D3" s="46"/>
      <c r="E3" s="46"/>
      <c r="F3" s="229" t="s">
        <v>366</v>
      </c>
      <c r="G3" s="270" t="s">
        <v>366</v>
      </c>
      <c r="H3" s="270" t="s">
        <v>367</v>
      </c>
      <c r="I3" s="270" t="s">
        <v>368</v>
      </c>
      <c r="J3" s="229" t="s">
        <v>368</v>
      </c>
    </row>
    <row r="4" spans="1:10" ht="30" x14ac:dyDescent="0.25">
      <c r="A4" s="47" t="s">
        <v>369</v>
      </c>
      <c r="B4" s="65" t="s">
        <v>480</v>
      </c>
      <c r="C4" s="47">
        <v>62</v>
      </c>
      <c r="D4" s="66">
        <v>0.33</v>
      </c>
      <c r="E4" s="62" t="s">
        <v>642</v>
      </c>
      <c r="F4" s="270">
        <v>94.7</v>
      </c>
      <c r="G4" s="271">
        <v>89.8</v>
      </c>
      <c r="H4" s="272">
        <v>4821</v>
      </c>
      <c r="I4" s="273">
        <v>1.9599999999999999E-5</v>
      </c>
      <c r="J4" s="270">
        <v>4.1000000000000002E-2</v>
      </c>
    </row>
    <row r="5" spans="1:10" ht="30" x14ac:dyDescent="0.25">
      <c r="A5" s="47" t="s">
        <v>370</v>
      </c>
      <c r="B5" s="65" t="s">
        <v>643</v>
      </c>
      <c r="C5" s="47">
        <v>31</v>
      </c>
      <c r="D5" s="66">
        <v>0.4</v>
      </c>
      <c r="E5" s="62" t="s">
        <v>642</v>
      </c>
      <c r="F5" s="270">
        <v>1013.5</v>
      </c>
      <c r="G5" s="270">
        <v>1620.9</v>
      </c>
      <c r="H5" s="274">
        <v>31334</v>
      </c>
      <c r="I5" s="275">
        <v>3.2299999999999999E-5</v>
      </c>
      <c r="J5" s="270">
        <v>0.28999999999999998</v>
      </c>
    </row>
    <row r="6" spans="1:10" ht="30" x14ac:dyDescent="0.25">
      <c r="A6" s="47" t="s">
        <v>371</v>
      </c>
      <c r="B6" s="65" t="s">
        <v>644</v>
      </c>
      <c r="C6" s="47">
        <v>36</v>
      </c>
      <c r="D6" s="66">
        <v>0.04</v>
      </c>
      <c r="E6" s="62" t="s">
        <v>642</v>
      </c>
      <c r="F6" s="270">
        <v>18.8</v>
      </c>
      <c r="G6" s="270">
        <v>18.8</v>
      </c>
      <c r="H6" s="274">
        <v>17629</v>
      </c>
      <c r="I6" s="275">
        <v>1.06E-6</v>
      </c>
      <c r="J6" s="270">
        <v>4.0000000000000001E-3</v>
      </c>
    </row>
    <row r="7" spans="1:10" ht="30.75" thickBot="1" x14ac:dyDescent="0.3">
      <c r="A7" s="46" t="s">
        <v>372</v>
      </c>
      <c r="B7" s="67" t="s">
        <v>645</v>
      </c>
      <c r="C7" s="46">
        <v>51</v>
      </c>
      <c r="D7" s="68">
        <v>3.5</v>
      </c>
      <c r="E7" s="63" t="s">
        <v>642</v>
      </c>
      <c r="F7" s="229">
        <v>10220.299999999999</v>
      </c>
      <c r="G7" s="229">
        <v>14069</v>
      </c>
      <c r="H7" s="276">
        <v>11867</v>
      </c>
      <c r="I7" s="277">
        <v>8.61E-4</v>
      </c>
      <c r="J7" s="229">
        <v>4.0839999999999996</v>
      </c>
    </row>
  </sheetData>
  <mergeCells count="1">
    <mergeCell ref="A1:J1"/>
  </mergeCells>
  <hyperlinks>
    <hyperlink ref="E4" r:id="rId1" display="http://www.allaboutbirds.org/guide/"/>
    <hyperlink ref="E5:E7" r:id="rId2" display="http://www.allaboutbirds.org/guide/"/>
  </hyperlinks>
  <pageMargins left="0.7" right="0.7" top="0.75" bottom="0.75" header="0.3" footer="0.3"/>
  <pageSetup orientation="portrait" verticalDpi="0"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9"/>
  <sheetViews>
    <sheetView workbookViewId="0">
      <selection sqref="A1:B2"/>
    </sheetView>
  </sheetViews>
  <sheetFormatPr defaultColWidth="21.28515625" defaultRowHeight="15" x14ac:dyDescent="0.25"/>
  <cols>
    <col min="1" max="1" width="39.5703125" customWidth="1"/>
    <col min="2" max="2" width="40.42578125" customWidth="1"/>
  </cols>
  <sheetData>
    <row r="1" spans="1:2" ht="49.5" customHeight="1" x14ac:dyDescent="0.25">
      <c r="A1" s="439" t="s">
        <v>3082</v>
      </c>
      <c r="B1" s="439"/>
    </row>
    <row r="2" spans="1:2" ht="15.75" thickBot="1" x14ac:dyDescent="0.3">
      <c r="A2" s="439"/>
      <c r="B2" s="439"/>
    </row>
    <row r="3" spans="1:2" ht="15.75" thickBot="1" x14ac:dyDescent="0.3">
      <c r="A3" s="59" t="s">
        <v>497</v>
      </c>
      <c r="B3" s="59" t="s">
        <v>103</v>
      </c>
    </row>
    <row r="4" spans="1:2" x14ac:dyDescent="0.25">
      <c r="A4" s="60" t="s">
        <v>498</v>
      </c>
      <c r="B4" s="60" t="s">
        <v>459</v>
      </c>
    </row>
    <row r="5" spans="1:2" x14ac:dyDescent="0.25">
      <c r="A5" s="60" t="s">
        <v>499</v>
      </c>
      <c r="B5" s="60" t="s">
        <v>459</v>
      </c>
    </row>
    <row r="6" spans="1:2" x14ac:dyDescent="0.25">
      <c r="A6" s="60" t="s">
        <v>500</v>
      </c>
      <c r="B6" s="60" t="s">
        <v>459</v>
      </c>
    </row>
    <row r="7" spans="1:2" x14ac:dyDescent="0.25">
      <c r="A7" s="60" t="s">
        <v>501</v>
      </c>
      <c r="B7" s="60" t="s">
        <v>459</v>
      </c>
    </row>
    <row r="8" spans="1:2" x14ac:dyDescent="0.25">
      <c r="A8" s="60" t="s">
        <v>502</v>
      </c>
      <c r="B8" s="60" t="s">
        <v>427</v>
      </c>
    </row>
    <row r="9" spans="1:2" x14ac:dyDescent="0.25">
      <c r="A9" s="60" t="s">
        <v>503</v>
      </c>
      <c r="B9" s="60" t="s">
        <v>459</v>
      </c>
    </row>
    <row r="10" spans="1:2" x14ac:dyDescent="0.25">
      <c r="A10" s="60" t="s">
        <v>504</v>
      </c>
      <c r="B10" s="60" t="s">
        <v>409</v>
      </c>
    </row>
    <row r="11" spans="1:2" x14ac:dyDescent="0.25">
      <c r="A11" s="60" t="s">
        <v>505</v>
      </c>
      <c r="B11" s="60" t="s">
        <v>461</v>
      </c>
    </row>
    <row r="12" spans="1:2" x14ac:dyDescent="0.25">
      <c r="A12" s="60" t="s">
        <v>506</v>
      </c>
      <c r="B12" s="60" t="s">
        <v>461</v>
      </c>
    </row>
    <row r="13" spans="1:2" x14ac:dyDescent="0.25">
      <c r="A13" s="60" t="s">
        <v>507</v>
      </c>
      <c r="B13" s="60" t="s">
        <v>461</v>
      </c>
    </row>
    <row r="14" spans="1:2" x14ac:dyDescent="0.25">
      <c r="A14" s="60" t="s">
        <v>508</v>
      </c>
      <c r="B14" s="60" t="s">
        <v>461</v>
      </c>
    </row>
    <row r="15" spans="1:2" x14ac:dyDescent="0.25">
      <c r="A15" s="60" t="s">
        <v>509</v>
      </c>
      <c r="B15" s="60" t="s">
        <v>459</v>
      </c>
    </row>
    <row r="16" spans="1:2" x14ac:dyDescent="0.25">
      <c r="A16" s="60" t="s">
        <v>510</v>
      </c>
      <c r="B16" s="60" t="s">
        <v>461</v>
      </c>
    </row>
    <row r="17" spans="1:2" x14ac:dyDescent="0.25">
      <c r="A17" s="60" t="s">
        <v>511</v>
      </c>
      <c r="B17" s="60" t="s">
        <v>463</v>
      </c>
    </row>
    <row r="18" spans="1:2" x14ac:dyDescent="0.25">
      <c r="A18" s="60" t="s">
        <v>512</v>
      </c>
      <c r="B18" s="60" t="s">
        <v>424</v>
      </c>
    </row>
    <row r="19" spans="1:2" x14ac:dyDescent="0.25">
      <c r="A19" s="60" t="s">
        <v>513</v>
      </c>
      <c r="B19" s="60" t="s">
        <v>463</v>
      </c>
    </row>
    <row r="20" spans="1:2" x14ac:dyDescent="0.25">
      <c r="A20" s="60" t="s">
        <v>514</v>
      </c>
      <c r="B20" s="60" t="s">
        <v>438</v>
      </c>
    </row>
    <row r="21" spans="1:2" x14ac:dyDescent="0.25">
      <c r="A21" s="60" t="s">
        <v>515</v>
      </c>
      <c r="B21" s="60" t="s">
        <v>427</v>
      </c>
    </row>
    <row r="22" spans="1:2" x14ac:dyDescent="0.25">
      <c r="A22" s="60" t="s">
        <v>516</v>
      </c>
      <c r="B22" s="60" t="s">
        <v>427</v>
      </c>
    </row>
    <row r="23" spans="1:2" x14ac:dyDescent="0.25">
      <c r="A23" s="60" t="s">
        <v>517</v>
      </c>
      <c r="B23" s="60" t="s">
        <v>427</v>
      </c>
    </row>
    <row r="24" spans="1:2" x14ac:dyDescent="0.25">
      <c r="A24" s="60" t="s">
        <v>518</v>
      </c>
      <c r="B24" s="60" t="s">
        <v>427</v>
      </c>
    </row>
    <row r="25" spans="1:2" x14ac:dyDescent="0.25">
      <c r="A25" s="60" t="s">
        <v>519</v>
      </c>
      <c r="B25" s="60" t="s">
        <v>427</v>
      </c>
    </row>
    <row r="26" spans="1:2" x14ac:dyDescent="0.25">
      <c r="A26" s="60" t="s">
        <v>520</v>
      </c>
      <c r="B26" s="60" t="s">
        <v>427</v>
      </c>
    </row>
    <row r="27" spans="1:2" x14ac:dyDescent="0.25">
      <c r="A27" s="60" t="s">
        <v>521</v>
      </c>
      <c r="B27" s="60" t="s">
        <v>427</v>
      </c>
    </row>
    <row r="28" spans="1:2" x14ac:dyDescent="0.25">
      <c r="A28" s="60" t="s">
        <v>522</v>
      </c>
      <c r="B28" s="60" t="s">
        <v>427</v>
      </c>
    </row>
    <row r="29" spans="1:2" x14ac:dyDescent="0.25">
      <c r="A29" s="60" t="s">
        <v>523</v>
      </c>
      <c r="B29" s="60" t="s">
        <v>427</v>
      </c>
    </row>
    <row r="30" spans="1:2" x14ac:dyDescent="0.25">
      <c r="A30" s="60" t="s">
        <v>524</v>
      </c>
      <c r="B30" s="60" t="s">
        <v>427</v>
      </c>
    </row>
    <row r="31" spans="1:2" x14ac:dyDescent="0.25">
      <c r="A31" s="60" t="s">
        <v>525</v>
      </c>
      <c r="B31" s="60" t="s">
        <v>450</v>
      </c>
    </row>
    <row r="32" spans="1:2" x14ac:dyDescent="0.25">
      <c r="A32" s="60" t="s">
        <v>526</v>
      </c>
      <c r="B32" s="60" t="s">
        <v>463</v>
      </c>
    </row>
    <row r="33" spans="1:2" x14ac:dyDescent="0.25">
      <c r="A33" s="60" t="s">
        <v>527</v>
      </c>
      <c r="B33" s="60" t="s">
        <v>415</v>
      </c>
    </row>
    <row r="34" spans="1:2" x14ac:dyDescent="0.25">
      <c r="A34" s="60" t="s">
        <v>528</v>
      </c>
      <c r="B34" s="60" t="s">
        <v>427</v>
      </c>
    </row>
    <row r="35" spans="1:2" x14ac:dyDescent="0.25">
      <c r="A35" s="60" t="s">
        <v>529</v>
      </c>
      <c r="B35" s="60" t="s">
        <v>427</v>
      </c>
    </row>
    <row r="36" spans="1:2" x14ac:dyDescent="0.25">
      <c r="A36" s="60" t="s">
        <v>530</v>
      </c>
      <c r="B36" s="60" t="s">
        <v>427</v>
      </c>
    </row>
    <row r="37" spans="1:2" x14ac:dyDescent="0.25">
      <c r="A37" s="60" t="s">
        <v>531</v>
      </c>
      <c r="B37" s="60" t="s">
        <v>459</v>
      </c>
    </row>
    <row r="38" spans="1:2" x14ac:dyDescent="0.25">
      <c r="A38" s="60" t="s">
        <v>532</v>
      </c>
      <c r="B38" s="60" t="s">
        <v>459</v>
      </c>
    </row>
    <row r="39" spans="1:2" x14ac:dyDescent="0.25">
      <c r="A39" s="60" t="s">
        <v>533</v>
      </c>
      <c r="B39" s="60" t="s">
        <v>459</v>
      </c>
    </row>
    <row r="40" spans="1:2" x14ac:dyDescent="0.25">
      <c r="A40" s="60" t="s">
        <v>534</v>
      </c>
      <c r="B40" s="60" t="s">
        <v>459</v>
      </c>
    </row>
    <row r="41" spans="1:2" x14ac:dyDescent="0.25">
      <c r="A41" s="60" t="s">
        <v>535</v>
      </c>
      <c r="B41" s="60" t="s">
        <v>459</v>
      </c>
    </row>
    <row r="42" spans="1:2" x14ac:dyDescent="0.25">
      <c r="A42" s="60" t="s">
        <v>536</v>
      </c>
      <c r="B42" s="60" t="s">
        <v>459</v>
      </c>
    </row>
    <row r="43" spans="1:2" x14ac:dyDescent="0.25">
      <c r="A43" s="60" t="s">
        <v>537</v>
      </c>
      <c r="B43" s="60" t="s">
        <v>456</v>
      </c>
    </row>
    <row r="44" spans="1:2" x14ac:dyDescent="0.25">
      <c r="A44" s="60" t="s">
        <v>538</v>
      </c>
      <c r="B44" s="60" t="s">
        <v>453</v>
      </c>
    </row>
    <row r="45" spans="1:2" x14ac:dyDescent="0.25">
      <c r="A45" s="60" t="s">
        <v>539</v>
      </c>
      <c r="B45" s="60" t="s">
        <v>459</v>
      </c>
    </row>
    <row r="46" spans="1:2" x14ac:dyDescent="0.25">
      <c r="A46" s="60" t="s">
        <v>540</v>
      </c>
      <c r="B46" s="60" t="s">
        <v>459</v>
      </c>
    </row>
    <row r="47" spans="1:2" x14ac:dyDescent="0.25">
      <c r="A47" s="60" t="s">
        <v>541</v>
      </c>
      <c r="B47" s="60" t="s">
        <v>459</v>
      </c>
    </row>
    <row r="48" spans="1:2" x14ac:dyDescent="0.25">
      <c r="A48" s="60" t="s">
        <v>542</v>
      </c>
      <c r="B48" s="60" t="s">
        <v>459</v>
      </c>
    </row>
    <row r="49" spans="1:2" x14ac:dyDescent="0.25">
      <c r="A49" s="60" t="s">
        <v>543</v>
      </c>
      <c r="B49" s="60" t="s">
        <v>544</v>
      </c>
    </row>
    <row r="50" spans="1:2" x14ac:dyDescent="0.25">
      <c r="A50" s="60" t="s">
        <v>545</v>
      </c>
      <c r="B50" s="60" t="s">
        <v>546</v>
      </c>
    </row>
    <row r="51" spans="1:2" x14ac:dyDescent="0.25">
      <c r="A51" s="60" t="s">
        <v>547</v>
      </c>
      <c r="B51" s="60" t="s">
        <v>546</v>
      </c>
    </row>
    <row r="52" spans="1:2" x14ac:dyDescent="0.25">
      <c r="A52" s="60" t="s">
        <v>548</v>
      </c>
      <c r="B52" s="60" t="s">
        <v>546</v>
      </c>
    </row>
    <row r="53" spans="1:2" x14ac:dyDescent="0.25">
      <c r="A53" s="60" t="s">
        <v>549</v>
      </c>
      <c r="B53" s="60" t="s">
        <v>459</v>
      </c>
    </row>
    <row r="54" spans="1:2" x14ac:dyDescent="0.25">
      <c r="A54" s="60" t="s">
        <v>550</v>
      </c>
      <c r="B54" s="60" t="s">
        <v>459</v>
      </c>
    </row>
    <row r="55" spans="1:2" x14ac:dyDescent="0.25">
      <c r="A55" s="60" t="s">
        <v>551</v>
      </c>
      <c r="B55" s="60" t="s">
        <v>450</v>
      </c>
    </row>
    <row r="56" spans="1:2" x14ac:dyDescent="0.25">
      <c r="A56" s="60" t="s">
        <v>552</v>
      </c>
      <c r="B56" s="60" t="s">
        <v>450</v>
      </c>
    </row>
    <row r="57" spans="1:2" x14ac:dyDescent="0.25">
      <c r="A57" s="60" t="s">
        <v>553</v>
      </c>
      <c r="B57" s="60" t="s">
        <v>450</v>
      </c>
    </row>
    <row r="58" spans="1:2" x14ac:dyDescent="0.25">
      <c r="A58" s="60" t="s">
        <v>554</v>
      </c>
      <c r="B58" s="60" t="s">
        <v>450</v>
      </c>
    </row>
    <row r="59" spans="1:2" x14ac:dyDescent="0.25">
      <c r="A59" s="60" t="s">
        <v>555</v>
      </c>
      <c r="B59" s="60" t="s">
        <v>556</v>
      </c>
    </row>
    <row r="60" spans="1:2" x14ac:dyDescent="0.25">
      <c r="A60" s="60" t="s">
        <v>557</v>
      </c>
      <c r="B60" s="60" t="s">
        <v>556</v>
      </c>
    </row>
    <row r="61" spans="1:2" x14ac:dyDescent="0.25">
      <c r="A61" s="60" t="s">
        <v>558</v>
      </c>
      <c r="B61" s="60" t="s">
        <v>556</v>
      </c>
    </row>
    <row r="62" spans="1:2" x14ac:dyDescent="0.25">
      <c r="A62" s="60" t="s">
        <v>559</v>
      </c>
      <c r="B62" s="60" t="s">
        <v>456</v>
      </c>
    </row>
    <row r="63" spans="1:2" x14ac:dyDescent="0.25">
      <c r="A63" s="60" t="s">
        <v>560</v>
      </c>
      <c r="B63" s="60" t="s">
        <v>453</v>
      </c>
    </row>
    <row r="64" spans="1:2" x14ac:dyDescent="0.25">
      <c r="A64" s="60" t="s">
        <v>561</v>
      </c>
      <c r="B64" s="60" t="s">
        <v>427</v>
      </c>
    </row>
    <row r="65" spans="1:2" x14ac:dyDescent="0.25">
      <c r="A65" s="60" t="s">
        <v>562</v>
      </c>
      <c r="B65" s="60" t="s">
        <v>450</v>
      </c>
    </row>
    <row r="66" spans="1:2" x14ac:dyDescent="0.25">
      <c r="A66" s="60" t="s">
        <v>563</v>
      </c>
      <c r="B66" s="60" t="s">
        <v>450</v>
      </c>
    </row>
    <row r="67" spans="1:2" x14ac:dyDescent="0.25">
      <c r="A67" s="60" t="s">
        <v>564</v>
      </c>
      <c r="B67" s="60" t="s">
        <v>450</v>
      </c>
    </row>
    <row r="68" spans="1:2" x14ac:dyDescent="0.25">
      <c r="A68" s="60" t="s">
        <v>565</v>
      </c>
      <c r="B68" s="60" t="s">
        <v>461</v>
      </c>
    </row>
    <row r="69" spans="1:2" x14ac:dyDescent="0.25">
      <c r="A69" s="60" t="s">
        <v>566</v>
      </c>
      <c r="B69" s="60" t="s">
        <v>461</v>
      </c>
    </row>
    <row r="70" spans="1:2" x14ac:dyDescent="0.25">
      <c r="A70" s="60" t="s">
        <v>567</v>
      </c>
      <c r="B70" s="60" t="s">
        <v>415</v>
      </c>
    </row>
    <row r="71" spans="1:2" x14ac:dyDescent="0.25">
      <c r="A71" s="60" t="s">
        <v>568</v>
      </c>
      <c r="B71" s="60" t="s">
        <v>415</v>
      </c>
    </row>
    <row r="72" spans="1:2" x14ac:dyDescent="0.25">
      <c r="A72" s="60" t="s">
        <v>569</v>
      </c>
      <c r="B72" s="60" t="s">
        <v>415</v>
      </c>
    </row>
    <row r="73" spans="1:2" x14ac:dyDescent="0.25">
      <c r="A73" s="60" t="s">
        <v>570</v>
      </c>
      <c r="B73" s="60" t="s">
        <v>444</v>
      </c>
    </row>
    <row r="74" spans="1:2" x14ac:dyDescent="0.25">
      <c r="A74" s="60" t="s">
        <v>571</v>
      </c>
      <c r="B74" s="60" t="s">
        <v>442</v>
      </c>
    </row>
    <row r="75" spans="1:2" x14ac:dyDescent="0.25">
      <c r="A75" s="60" t="s">
        <v>572</v>
      </c>
      <c r="B75" s="60" t="s">
        <v>442</v>
      </c>
    </row>
    <row r="76" spans="1:2" x14ac:dyDescent="0.25">
      <c r="A76" s="60" t="s">
        <v>573</v>
      </c>
      <c r="B76" s="60" t="s">
        <v>442</v>
      </c>
    </row>
    <row r="77" spans="1:2" x14ac:dyDescent="0.25">
      <c r="A77" s="60" t="s">
        <v>574</v>
      </c>
      <c r="B77" s="60" t="s">
        <v>444</v>
      </c>
    </row>
    <row r="78" spans="1:2" x14ac:dyDescent="0.25">
      <c r="A78" s="60" t="s">
        <v>575</v>
      </c>
      <c r="B78" s="60" t="s">
        <v>442</v>
      </c>
    </row>
    <row r="79" spans="1:2" x14ac:dyDescent="0.25">
      <c r="A79" s="60" t="s">
        <v>576</v>
      </c>
      <c r="B79" s="60" t="s">
        <v>447</v>
      </c>
    </row>
    <row r="80" spans="1:2" x14ac:dyDescent="0.25">
      <c r="A80" s="60" t="s">
        <v>577</v>
      </c>
      <c r="B80" s="60" t="s">
        <v>447</v>
      </c>
    </row>
    <row r="81" spans="1:2" x14ac:dyDescent="0.25">
      <c r="A81" s="60" t="s">
        <v>578</v>
      </c>
      <c r="B81" s="60" t="s">
        <v>442</v>
      </c>
    </row>
    <row r="82" spans="1:2" x14ac:dyDescent="0.25">
      <c r="A82" s="60" t="s">
        <v>579</v>
      </c>
      <c r="B82" s="60" t="s">
        <v>447</v>
      </c>
    </row>
    <row r="83" spans="1:2" x14ac:dyDescent="0.25">
      <c r="A83" s="60" t="s">
        <v>580</v>
      </c>
      <c r="B83" s="60" t="s">
        <v>442</v>
      </c>
    </row>
    <row r="84" spans="1:2" x14ac:dyDescent="0.25">
      <c r="A84" s="60" t="s">
        <v>581</v>
      </c>
      <c r="B84" s="60" t="s">
        <v>447</v>
      </c>
    </row>
    <row r="85" spans="1:2" x14ac:dyDescent="0.25">
      <c r="A85" s="60" t="s">
        <v>582</v>
      </c>
      <c r="B85" s="60" t="s">
        <v>447</v>
      </c>
    </row>
    <row r="86" spans="1:2" x14ac:dyDescent="0.25">
      <c r="A86" s="60" t="s">
        <v>583</v>
      </c>
      <c r="B86" s="60" t="s">
        <v>444</v>
      </c>
    </row>
    <row r="87" spans="1:2" x14ac:dyDescent="0.25">
      <c r="A87" s="60" t="s">
        <v>584</v>
      </c>
      <c r="B87" s="60" t="s">
        <v>450</v>
      </c>
    </row>
    <row r="88" spans="1:2" x14ac:dyDescent="0.25">
      <c r="A88" s="60" t="s">
        <v>585</v>
      </c>
      <c r="B88" s="60" t="s">
        <v>427</v>
      </c>
    </row>
    <row r="89" spans="1:2" x14ac:dyDescent="0.25">
      <c r="A89" s="60" t="s">
        <v>586</v>
      </c>
      <c r="B89" s="60" t="s">
        <v>427</v>
      </c>
    </row>
    <row r="90" spans="1:2" x14ac:dyDescent="0.25">
      <c r="A90" s="60" t="s">
        <v>587</v>
      </c>
      <c r="B90" s="60" t="s">
        <v>427</v>
      </c>
    </row>
    <row r="91" spans="1:2" x14ac:dyDescent="0.25">
      <c r="A91" s="60" t="s">
        <v>588</v>
      </c>
      <c r="B91" s="60" t="s">
        <v>427</v>
      </c>
    </row>
    <row r="92" spans="1:2" x14ac:dyDescent="0.25">
      <c r="A92" s="60" t="s">
        <v>589</v>
      </c>
      <c r="B92" s="60" t="s">
        <v>427</v>
      </c>
    </row>
    <row r="93" spans="1:2" x14ac:dyDescent="0.25">
      <c r="A93" s="60" t="s">
        <v>590</v>
      </c>
      <c r="B93" s="60" t="s">
        <v>427</v>
      </c>
    </row>
    <row r="94" spans="1:2" x14ac:dyDescent="0.25">
      <c r="A94" s="60" t="s">
        <v>591</v>
      </c>
      <c r="B94" s="60" t="s">
        <v>427</v>
      </c>
    </row>
    <row r="95" spans="1:2" x14ac:dyDescent="0.25">
      <c r="A95" s="60" t="s">
        <v>592</v>
      </c>
      <c r="B95" s="60" t="s">
        <v>427</v>
      </c>
    </row>
    <row r="96" spans="1:2" x14ac:dyDescent="0.25">
      <c r="A96" s="60" t="s">
        <v>593</v>
      </c>
      <c r="B96" s="60" t="s">
        <v>427</v>
      </c>
    </row>
    <row r="97" spans="1:2" x14ac:dyDescent="0.25">
      <c r="A97" s="60" t="s">
        <v>594</v>
      </c>
      <c r="B97" s="60" t="s">
        <v>427</v>
      </c>
    </row>
    <row r="98" spans="1:2" x14ac:dyDescent="0.25">
      <c r="A98" s="60" t="s">
        <v>595</v>
      </c>
      <c r="B98" s="60" t="s">
        <v>427</v>
      </c>
    </row>
    <row r="99" spans="1:2" x14ac:dyDescent="0.25">
      <c r="A99" s="60" t="s">
        <v>596</v>
      </c>
      <c r="B99" s="60" t="s">
        <v>427</v>
      </c>
    </row>
    <row r="100" spans="1:2" x14ac:dyDescent="0.25">
      <c r="A100" s="60" t="s">
        <v>597</v>
      </c>
      <c r="B100" s="60" t="s">
        <v>427</v>
      </c>
    </row>
    <row r="101" spans="1:2" x14ac:dyDescent="0.25">
      <c r="A101" s="60" t="s">
        <v>598</v>
      </c>
      <c r="B101" s="60" t="s">
        <v>427</v>
      </c>
    </row>
    <row r="102" spans="1:2" x14ac:dyDescent="0.25">
      <c r="A102" s="60" t="s">
        <v>599</v>
      </c>
      <c r="B102" s="60" t="s">
        <v>450</v>
      </c>
    </row>
    <row r="103" spans="1:2" x14ac:dyDescent="0.25">
      <c r="A103" s="60" t="s">
        <v>600</v>
      </c>
      <c r="B103" s="60" t="s">
        <v>461</v>
      </c>
    </row>
    <row r="104" spans="1:2" x14ac:dyDescent="0.25">
      <c r="A104" s="60" t="s">
        <v>601</v>
      </c>
      <c r="B104" s="60" t="s">
        <v>450</v>
      </c>
    </row>
    <row r="105" spans="1:2" x14ac:dyDescent="0.25">
      <c r="A105" s="60" t="s">
        <v>602</v>
      </c>
      <c r="B105" s="60" t="s">
        <v>463</v>
      </c>
    </row>
    <row r="106" spans="1:2" x14ac:dyDescent="0.25">
      <c r="A106" s="60" t="s">
        <v>603</v>
      </c>
      <c r="B106" s="60" t="s">
        <v>463</v>
      </c>
    </row>
    <row r="107" spans="1:2" x14ac:dyDescent="0.25">
      <c r="A107" s="60" t="s">
        <v>604</v>
      </c>
      <c r="B107" s="60" t="s">
        <v>463</v>
      </c>
    </row>
    <row r="108" spans="1:2" x14ac:dyDescent="0.25">
      <c r="A108" s="60" t="s">
        <v>605</v>
      </c>
      <c r="B108" s="60" t="s">
        <v>463</v>
      </c>
    </row>
    <row r="109" spans="1:2" x14ac:dyDescent="0.25">
      <c r="A109" s="60" t="s">
        <v>606</v>
      </c>
      <c r="B109" s="60" t="s">
        <v>463</v>
      </c>
    </row>
    <row r="110" spans="1:2" x14ac:dyDescent="0.25">
      <c r="A110" s="60" t="s">
        <v>607</v>
      </c>
      <c r="B110" s="60" t="s">
        <v>450</v>
      </c>
    </row>
    <row r="111" spans="1:2" x14ac:dyDescent="0.25">
      <c r="A111" s="60" t="s">
        <v>608</v>
      </c>
      <c r="B111" s="60" t="s">
        <v>450</v>
      </c>
    </row>
    <row r="112" spans="1:2" x14ac:dyDescent="0.25">
      <c r="A112" s="60" t="s">
        <v>609</v>
      </c>
      <c r="B112" s="60" t="s">
        <v>610</v>
      </c>
    </row>
    <row r="113" spans="1:2" x14ac:dyDescent="0.25">
      <c r="A113" s="60" t="s">
        <v>611</v>
      </c>
      <c r="B113" s="60" t="s">
        <v>427</v>
      </c>
    </row>
    <row r="114" spans="1:2" x14ac:dyDescent="0.25">
      <c r="A114" s="60" t="s">
        <v>612</v>
      </c>
      <c r="B114" s="60" t="s">
        <v>467</v>
      </c>
    </row>
    <row r="115" spans="1:2" x14ac:dyDescent="0.25">
      <c r="A115" s="60" t="s">
        <v>613</v>
      </c>
      <c r="B115" s="60" t="s">
        <v>467</v>
      </c>
    </row>
    <row r="116" spans="1:2" x14ac:dyDescent="0.25">
      <c r="A116" s="60" t="s">
        <v>614</v>
      </c>
      <c r="B116" s="60" t="s">
        <v>467</v>
      </c>
    </row>
    <row r="117" spans="1:2" x14ac:dyDescent="0.25">
      <c r="A117" s="60" t="s">
        <v>615</v>
      </c>
      <c r="B117" s="60" t="s">
        <v>395</v>
      </c>
    </row>
    <row r="118" spans="1:2" x14ac:dyDescent="0.25">
      <c r="A118" s="60" t="s">
        <v>616</v>
      </c>
      <c r="B118" s="60" t="s">
        <v>395</v>
      </c>
    </row>
    <row r="119" spans="1:2" ht="15.75" thickBot="1" x14ac:dyDescent="0.3">
      <c r="A119" s="61" t="s">
        <v>617</v>
      </c>
      <c r="B119" s="61" t="s">
        <v>395</v>
      </c>
    </row>
  </sheetData>
  <mergeCells count="1">
    <mergeCell ref="A1:B2"/>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workbookViewId="0">
      <selection sqref="A1:G1"/>
    </sheetView>
  </sheetViews>
  <sheetFormatPr defaultColWidth="20" defaultRowHeight="15" x14ac:dyDescent="0.25"/>
  <cols>
    <col min="1" max="1" width="6.85546875" customWidth="1"/>
    <col min="2" max="2" width="18.5703125" bestFit="1" customWidth="1"/>
    <col min="3" max="3" width="20.5703125" bestFit="1" customWidth="1"/>
    <col min="4" max="4" width="20.28515625" bestFit="1" customWidth="1"/>
    <col min="5" max="5" width="2" customWidth="1"/>
    <col min="6" max="6" width="23.85546875" bestFit="1" customWidth="1"/>
    <col min="7" max="7" width="20.28515625" bestFit="1" customWidth="1"/>
    <col min="9" max="10" width="20" style="6"/>
  </cols>
  <sheetData>
    <row r="1" spans="1:10" ht="77.25" customHeight="1" x14ac:dyDescent="0.25">
      <c r="A1" s="460" t="s">
        <v>3093</v>
      </c>
      <c r="B1" s="460"/>
      <c r="C1" s="460"/>
      <c r="D1" s="460"/>
      <c r="E1" s="460"/>
      <c r="F1" s="460"/>
      <c r="G1" s="460"/>
    </row>
    <row r="2" spans="1:10" ht="15.75" thickBot="1" x14ac:dyDescent="0.3">
      <c r="A2" s="22"/>
      <c r="B2" s="22"/>
      <c r="C2" s="22"/>
      <c r="D2" s="22"/>
      <c r="E2" s="22"/>
      <c r="F2" s="22"/>
      <c r="G2" s="22"/>
    </row>
    <row r="3" spans="1:10" x14ac:dyDescent="0.25">
      <c r="A3" s="10"/>
      <c r="B3" s="10"/>
      <c r="C3" s="461" t="s">
        <v>1799</v>
      </c>
      <c r="D3" s="461"/>
      <c r="E3" s="17"/>
      <c r="F3" s="461" t="s">
        <v>625</v>
      </c>
      <c r="G3" s="461"/>
    </row>
    <row r="4" spans="1:10" ht="17.25" x14ac:dyDescent="0.25">
      <c r="A4" s="111" t="s">
        <v>345</v>
      </c>
      <c r="B4" s="136" t="s">
        <v>738</v>
      </c>
      <c r="C4" s="111" t="s">
        <v>1800</v>
      </c>
      <c r="D4" s="111" t="s">
        <v>1801</v>
      </c>
      <c r="E4" s="111"/>
      <c r="F4" s="111" t="s">
        <v>1800</v>
      </c>
      <c r="G4" s="111" t="s">
        <v>1801</v>
      </c>
      <c r="I4" s="107"/>
      <c r="J4" s="108"/>
    </row>
    <row r="5" spans="1:10" ht="15.75" x14ac:dyDescent="0.25">
      <c r="A5" s="112">
        <v>9</v>
      </c>
      <c r="B5" s="113" t="s">
        <v>395</v>
      </c>
      <c r="C5" s="137">
        <v>7.6439080000000006E-2</v>
      </c>
      <c r="D5" s="137">
        <v>4.0768065332091014E-2</v>
      </c>
      <c r="E5" s="137"/>
      <c r="F5" s="137">
        <v>0.68441572000000006</v>
      </c>
      <c r="G5" s="137">
        <v>0.36502669560217244</v>
      </c>
      <c r="I5" s="107"/>
      <c r="J5" s="108"/>
    </row>
    <row r="6" spans="1:10" ht="15.75" x14ac:dyDescent="0.25">
      <c r="A6" s="112">
        <v>10</v>
      </c>
      <c r="B6" s="113" t="s">
        <v>354</v>
      </c>
      <c r="C6" s="137">
        <v>29.20848672</v>
      </c>
      <c r="D6" s="137">
        <v>0.21850423725021909</v>
      </c>
      <c r="E6" s="137"/>
      <c r="F6" s="137">
        <v>2.8102980799999999</v>
      </c>
      <c r="G6" s="137">
        <v>2.1023411596181291E-2</v>
      </c>
      <c r="I6" s="107"/>
      <c r="J6" s="108"/>
    </row>
    <row r="7" spans="1:10" ht="15.75" x14ac:dyDescent="0.25">
      <c r="A7" s="112">
        <v>13</v>
      </c>
      <c r="B7" s="113" t="s">
        <v>401</v>
      </c>
      <c r="C7" s="137">
        <v>3.6708049599999995</v>
      </c>
      <c r="D7" s="137">
        <v>0.2971877288452352</v>
      </c>
      <c r="E7" s="137"/>
      <c r="F7" s="137">
        <v>4.9956897200000006</v>
      </c>
      <c r="G7" s="137">
        <v>0.40445016776437209</v>
      </c>
      <c r="I7" s="107"/>
      <c r="J7" s="108"/>
    </row>
    <row r="8" spans="1:10" ht="15.75" x14ac:dyDescent="0.25">
      <c r="A8" s="112">
        <v>14</v>
      </c>
      <c r="B8" s="113" t="s">
        <v>405</v>
      </c>
      <c r="C8" s="137">
        <v>2.9911656799999999</v>
      </c>
      <c r="D8" s="137">
        <v>0.23058821278753855</v>
      </c>
      <c r="E8" s="137"/>
      <c r="F8" s="137">
        <v>1.5553109999999999</v>
      </c>
      <c r="G8" s="137">
        <v>0.11989853528233828</v>
      </c>
      <c r="I8" s="107"/>
      <c r="J8" s="108"/>
    </row>
    <row r="9" spans="1:10" ht="15.75" x14ac:dyDescent="0.25">
      <c r="A9" s="112">
        <v>15</v>
      </c>
      <c r="B9" s="113" t="s">
        <v>409</v>
      </c>
      <c r="C9" s="137">
        <v>7.1945963600000002</v>
      </c>
      <c r="D9" s="137">
        <v>8.3072676945392554E-2</v>
      </c>
      <c r="E9" s="137"/>
      <c r="F9" s="137">
        <v>42.890903879999989</v>
      </c>
      <c r="G9" s="137">
        <v>0.49524143171238627</v>
      </c>
      <c r="I9" s="107"/>
      <c r="J9" s="108"/>
    </row>
    <row r="10" spans="1:10" ht="15.75" x14ac:dyDescent="0.25">
      <c r="A10" s="112">
        <v>16</v>
      </c>
      <c r="B10" s="113" t="s">
        <v>411</v>
      </c>
      <c r="C10" s="137">
        <v>4.6243999999999999E-3</v>
      </c>
      <c r="D10" s="137">
        <v>5.0266716026316311E-3</v>
      </c>
      <c r="E10" s="137"/>
      <c r="F10" s="137">
        <v>0.41417999999999999</v>
      </c>
      <c r="G10" s="137">
        <v>0.45020907455626008</v>
      </c>
      <c r="I10" s="107"/>
      <c r="J10" s="108"/>
    </row>
    <row r="11" spans="1:10" ht="15.75" x14ac:dyDescent="0.25">
      <c r="A11" s="112">
        <v>17</v>
      </c>
      <c r="B11" s="113" t="s">
        <v>415</v>
      </c>
      <c r="C11" s="137">
        <v>4.3377371600000005</v>
      </c>
      <c r="D11" s="137">
        <v>0.23347572648869422</v>
      </c>
      <c r="E11" s="137"/>
      <c r="F11" s="137">
        <v>4.1943279199999992</v>
      </c>
      <c r="G11" s="137">
        <v>0.22575682253966109</v>
      </c>
      <c r="I11" s="107"/>
      <c r="J11" s="108"/>
    </row>
    <row r="12" spans="1:10" ht="15.75" x14ac:dyDescent="0.25">
      <c r="A12" s="112">
        <v>18</v>
      </c>
      <c r="B12" s="113" t="s">
        <v>355</v>
      </c>
      <c r="C12" s="137">
        <v>0.77528812000000003</v>
      </c>
      <c r="D12" s="137">
        <v>0.4466828612227573</v>
      </c>
      <c r="E12" s="137"/>
      <c r="F12" s="137">
        <v>5.6422039999999993E-2</v>
      </c>
      <c r="G12" s="137">
        <v>3.2507602803490472E-2</v>
      </c>
      <c r="I12" s="107"/>
      <c r="J12" s="108"/>
    </row>
    <row r="13" spans="1:10" ht="15.75" x14ac:dyDescent="0.25">
      <c r="A13" s="112">
        <v>19</v>
      </c>
      <c r="B13" s="113" t="s">
        <v>546</v>
      </c>
      <c r="C13" s="137">
        <v>1.1973999999999999E-4</v>
      </c>
      <c r="D13" s="137">
        <v>2.7810939495993493E-2</v>
      </c>
      <c r="E13" s="137"/>
      <c r="F13" s="137">
        <v>4.9999999999999998E-7</v>
      </c>
      <c r="G13" s="137">
        <v>1.1613053071652536E-4</v>
      </c>
      <c r="I13" s="107"/>
      <c r="J13" s="108"/>
    </row>
    <row r="14" spans="1:10" ht="15.75" x14ac:dyDescent="0.25">
      <c r="A14" s="112">
        <v>20</v>
      </c>
      <c r="B14" s="113" t="s">
        <v>424</v>
      </c>
      <c r="C14" s="137">
        <v>4.7404799999999997E-2</v>
      </c>
      <c r="D14" s="137">
        <v>0.29718470453678614</v>
      </c>
      <c r="E14" s="137"/>
      <c r="F14" s="137">
        <v>5.2472639999999994E-2</v>
      </c>
      <c r="G14" s="137">
        <v>0.32895542254508287</v>
      </c>
      <c r="I14" s="107"/>
      <c r="J14" s="108"/>
    </row>
    <row r="15" spans="1:10" ht="15.75" x14ac:dyDescent="0.25">
      <c r="A15" s="112">
        <v>21</v>
      </c>
      <c r="B15" s="113" t="s">
        <v>427</v>
      </c>
      <c r="C15" s="137">
        <v>5.1344959999999988E-2</v>
      </c>
      <c r="D15" s="137">
        <v>5.555659979686098E-3</v>
      </c>
      <c r="E15" s="137"/>
      <c r="F15" s="137">
        <v>1.741317</v>
      </c>
      <c r="G15" s="137">
        <v>0.18841508823547745</v>
      </c>
      <c r="I15" s="107"/>
      <c r="J15" s="108"/>
    </row>
    <row r="16" spans="1:10" ht="15.75" x14ac:dyDescent="0.25">
      <c r="A16" s="112">
        <v>22</v>
      </c>
      <c r="B16" s="113" t="s">
        <v>556</v>
      </c>
      <c r="C16" s="137">
        <v>0.14474535999999999</v>
      </c>
      <c r="D16" s="137">
        <v>4.6883043105754779E-2</v>
      </c>
      <c r="E16" s="137"/>
      <c r="F16" s="137">
        <v>0.38673719999999995</v>
      </c>
      <c r="G16" s="137">
        <v>0.12526423519343835</v>
      </c>
      <c r="I16" s="107"/>
      <c r="J16" s="108"/>
    </row>
    <row r="17" spans="1:10" ht="15.75" x14ac:dyDescent="0.25">
      <c r="A17" s="112">
        <v>23</v>
      </c>
      <c r="B17" s="113" t="s">
        <v>433</v>
      </c>
      <c r="C17" s="137">
        <v>0</v>
      </c>
      <c r="D17" s="137">
        <v>0</v>
      </c>
      <c r="E17" s="137"/>
      <c r="F17" s="137">
        <v>0</v>
      </c>
      <c r="G17" s="137">
        <v>0</v>
      </c>
      <c r="I17" s="107"/>
      <c r="J17" s="108"/>
    </row>
    <row r="18" spans="1:10" ht="15.75" x14ac:dyDescent="0.25">
      <c r="A18" s="112">
        <v>24</v>
      </c>
      <c r="B18" s="113" t="s">
        <v>436</v>
      </c>
      <c r="C18" s="137">
        <v>0.1208066</v>
      </c>
      <c r="D18" s="137">
        <v>8.9731344918116372E-3</v>
      </c>
      <c r="E18" s="137"/>
      <c r="F18" s="137">
        <v>1.6103081199999998</v>
      </c>
      <c r="G18" s="137">
        <v>0.11960862514147697</v>
      </c>
      <c r="I18" s="107"/>
      <c r="J18" s="108"/>
    </row>
    <row r="19" spans="1:10" ht="15.75" x14ac:dyDescent="0.25">
      <c r="A19" s="112">
        <v>25</v>
      </c>
      <c r="B19" s="113" t="s">
        <v>438</v>
      </c>
      <c r="C19" s="137">
        <v>2.3945400000000002E-2</v>
      </c>
      <c r="D19" s="137">
        <v>6.5182914712391488E-2</v>
      </c>
      <c r="E19" s="137"/>
      <c r="F19" s="137">
        <v>0.12911800000000001</v>
      </c>
      <c r="G19" s="137">
        <v>0.35147826228981616</v>
      </c>
      <c r="I19" s="107"/>
      <c r="J19" s="108"/>
    </row>
    <row r="20" spans="1:10" ht="15.75" x14ac:dyDescent="0.25">
      <c r="A20" s="112">
        <v>26</v>
      </c>
      <c r="B20" s="113" t="s">
        <v>442</v>
      </c>
      <c r="C20" s="137">
        <v>0.14571944000000001</v>
      </c>
      <c r="D20" s="137">
        <v>6.9666948824220989E-2</v>
      </c>
      <c r="E20" s="137"/>
      <c r="F20" s="137">
        <v>1.3426006000000001</v>
      </c>
      <c r="G20" s="137">
        <v>0.64188338420438895</v>
      </c>
      <c r="I20" s="107"/>
      <c r="J20" s="108"/>
    </row>
    <row r="21" spans="1:10" ht="15.75" x14ac:dyDescent="0.25">
      <c r="A21" s="112">
        <v>27</v>
      </c>
      <c r="B21" s="113" t="s">
        <v>444</v>
      </c>
      <c r="C21" s="137">
        <v>1.3542665200000001</v>
      </c>
      <c r="D21" s="137">
        <v>0.12928591395345473</v>
      </c>
      <c r="E21" s="137"/>
      <c r="F21" s="137">
        <v>2.2424826000000002</v>
      </c>
      <c r="G21" s="137">
        <v>0.21408002648232008</v>
      </c>
      <c r="I21" s="107"/>
      <c r="J21" s="108"/>
    </row>
    <row r="22" spans="1:10" ht="15.75" x14ac:dyDescent="0.25">
      <c r="A22" s="112">
        <v>28</v>
      </c>
      <c r="B22" s="113" t="s">
        <v>447</v>
      </c>
      <c r="C22" s="137">
        <v>7.2448E-4</v>
      </c>
      <c r="D22" s="137">
        <v>1.1888950280164994E-3</v>
      </c>
      <c r="E22" s="137"/>
      <c r="F22" s="137">
        <v>0.30669511999999993</v>
      </c>
      <c r="G22" s="137">
        <v>0.50329657586810339</v>
      </c>
      <c r="I22" s="107"/>
      <c r="J22" s="108"/>
    </row>
    <row r="23" spans="1:10" ht="15.75" x14ac:dyDescent="0.25">
      <c r="A23" s="112">
        <v>29</v>
      </c>
      <c r="B23" s="113" t="s">
        <v>450</v>
      </c>
      <c r="C23" s="137">
        <v>0.36883223999999998</v>
      </c>
      <c r="D23" s="137">
        <v>1.4821535807116889E-2</v>
      </c>
      <c r="E23" s="137"/>
      <c r="F23" s="137">
        <v>6.2548227999999986</v>
      </c>
      <c r="G23" s="137">
        <v>0.25135026183549225</v>
      </c>
      <c r="I23" s="107"/>
      <c r="J23" s="108"/>
    </row>
    <row r="24" spans="1:10" ht="15.75" x14ac:dyDescent="0.25">
      <c r="A24" s="112">
        <v>30</v>
      </c>
      <c r="B24" s="113" t="s">
        <v>453</v>
      </c>
      <c r="C24" s="137">
        <v>0.21876167999999999</v>
      </c>
      <c r="D24" s="137">
        <v>0.10566973111961966</v>
      </c>
      <c r="E24" s="137"/>
      <c r="F24" s="137">
        <v>0.70804275999999988</v>
      </c>
      <c r="G24" s="137">
        <v>0.3420100269407027</v>
      </c>
      <c r="I24" s="107"/>
      <c r="J24" s="108"/>
    </row>
    <row r="25" spans="1:10" ht="15.75" x14ac:dyDescent="0.25">
      <c r="A25" s="112">
        <v>31</v>
      </c>
      <c r="B25" s="113" t="s">
        <v>456</v>
      </c>
      <c r="C25" s="137">
        <v>2.9205772799999998</v>
      </c>
      <c r="D25" s="137">
        <v>1.4784802846478493E-2</v>
      </c>
      <c r="E25" s="137"/>
      <c r="F25" s="137">
        <v>41.240137839999996</v>
      </c>
      <c r="G25" s="137">
        <v>0.20876944825305133</v>
      </c>
      <c r="I25" s="107"/>
      <c r="J25" s="108"/>
    </row>
    <row r="26" spans="1:10" ht="15.75" x14ac:dyDescent="0.25">
      <c r="A26" s="112">
        <v>32</v>
      </c>
      <c r="B26" s="113" t="s">
        <v>459</v>
      </c>
      <c r="C26" s="137">
        <v>4.14785892</v>
      </c>
      <c r="D26" s="137">
        <v>0.18681933870123024</v>
      </c>
      <c r="E26" s="137"/>
      <c r="F26" s="137">
        <v>5.6106713199999998</v>
      </c>
      <c r="G26" s="137">
        <v>0.25270432912225438</v>
      </c>
      <c r="I26" s="107"/>
      <c r="J26" s="108"/>
    </row>
    <row r="27" spans="1:10" ht="15.75" x14ac:dyDescent="0.25">
      <c r="A27" s="112">
        <v>33</v>
      </c>
      <c r="B27" s="113" t="s">
        <v>461</v>
      </c>
      <c r="C27" s="137">
        <v>31.055837440000001</v>
      </c>
      <c r="D27" s="137">
        <v>0.12396781564965857</v>
      </c>
      <c r="E27" s="137"/>
      <c r="F27" s="137">
        <v>98.466895720000011</v>
      </c>
      <c r="G27" s="137">
        <v>0.39305737608250163</v>
      </c>
      <c r="I27" s="107"/>
      <c r="J27" s="108"/>
    </row>
    <row r="28" spans="1:10" ht="15.75" x14ac:dyDescent="0.25">
      <c r="A28" s="112">
        <v>34</v>
      </c>
      <c r="B28" s="113" t="s">
        <v>463</v>
      </c>
      <c r="C28" s="137">
        <v>5.4513800000000001E-2</v>
      </c>
      <c r="D28" s="137">
        <v>6.9517539821426222E-2</v>
      </c>
      <c r="E28" s="137"/>
      <c r="F28" s="137">
        <v>0.51799824000000005</v>
      </c>
      <c r="G28" s="137">
        <v>0.66056600854515179</v>
      </c>
      <c r="I28" s="107"/>
      <c r="J28" s="108"/>
    </row>
    <row r="29" spans="1:10" ht="15.75" x14ac:dyDescent="0.25">
      <c r="A29" s="112">
        <v>35</v>
      </c>
      <c r="B29" s="113" t="s">
        <v>100</v>
      </c>
      <c r="C29" s="137">
        <v>4.7208739199999989</v>
      </c>
      <c r="D29" s="137">
        <v>6.7860772796838192E-2</v>
      </c>
      <c r="E29" s="137"/>
      <c r="F29" s="137">
        <v>10.989586080000004</v>
      </c>
      <c r="G29" s="137">
        <v>0.15797113346890146</v>
      </c>
      <c r="I29" s="107"/>
      <c r="J29" s="108"/>
    </row>
    <row r="30" spans="1:10" ht="16.5" thickBot="1" x14ac:dyDescent="0.3">
      <c r="A30" s="138">
        <v>36</v>
      </c>
      <c r="B30" s="139" t="s">
        <v>467</v>
      </c>
      <c r="C30" s="140">
        <v>0.37253152000000006</v>
      </c>
      <c r="D30" s="140">
        <v>0.18970009816518649</v>
      </c>
      <c r="E30" s="140"/>
      <c r="F30" s="140">
        <v>0.73841843999999979</v>
      </c>
      <c r="G30" s="140">
        <v>0.37601664029659504</v>
      </c>
      <c r="I30" s="107"/>
      <c r="J30" s="108"/>
    </row>
    <row r="31" spans="1:10" ht="15.75" x14ac:dyDescent="0.25">
      <c r="I31" s="107"/>
      <c r="J31" s="108"/>
    </row>
    <row r="32" spans="1:10" ht="15.75" x14ac:dyDescent="0.25">
      <c r="I32" s="107"/>
      <c r="J32" s="108"/>
    </row>
    <row r="33" spans="9:10" ht="15.75" x14ac:dyDescent="0.25">
      <c r="I33" s="107"/>
      <c r="J33" s="108"/>
    </row>
    <row r="34" spans="9:10" ht="15.75" x14ac:dyDescent="0.25">
      <c r="I34" s="107"/>
      <c r="J34" s="108"/>
    </row>
    <row r="35" spans="9:10" ht="15.75" x14ac:dyDescent="0.25">
      <c r="I35" s="107"/>
      <c r="J35" s="108"/>
    </row>
    <row r="36" spans="9:10" ht="15.75" x14ac:dyDescent="0.25">
      <c r="I36" s="107"/>
      <c r="J36" s="108"/>
    </row>
    <row r="37" spans="9:10" ht="15.75" x14ac:dyDescent="0.25">
      <c r="I37" s="107"/>
      <c r="J37" s="108"/>
    </row>
    <row r="38" spans="9:10" ht="15.75" x14ac:dyDescent="0.25">
      <c r="I38" s="107"/>
      <c r="J38" s="108"/>
    </row>
    <row r="39" spans="9:10" ht="15.75" x14ac:dyDescent="0.25">
      <c r="I39" s="107"/>
      <c r="J39" s="108"/>
    </row>
    <row r="40" spans="9:10" ht="15.75" x14ac:dyDescent="0.25">
      <c r="I40" s="107"/>
      <c r="J40" s="108"/>
    </row>
    <row r="41" spans="9:10" ht="15.75" x14ac:dyDescent="0.25">
      <c r="I41" s="107"/>
      <c r="J41" s="108"/>
    </row>
    <row r="42" spans="9:10" ht="15.75" x14ac:dyDescent="0.25">
      <c r="I42" s="107"/>
      <c r="J42" s="108"/>
    </row>
    <row r="43" spans="9:10" ht="15.75" x14ac:dyDescent="0.25">
      <c r="I43" s="107"/>
      <c r="J43" s="108"/>
    </row>
    <row r="44" spans="9:10" ht="15.75" x14ac:dyDescent="0.25">
      <c r="I44" s="107"/>
      <c r="J44" s="108"/>
    </row>
    <row r="45" spans="9:10" ht="15.75" x14ac:dyDescent="0.25">
      <c r="I45" s="107"/>
      <c r="J45" s="108"/>
    </row>
    <row r="46" spans="9:10" ht="15.75" x14ac:dyDescent="0.25">
      <c r="I46" s="107"/>
      <c r="J46" s="108"/>
    </row>
    <row r="47" spans="9:10" ht="15.75" x14ac:dyDescent="0.25">
      <c r="I47" s="107"/>
      <c r="J47" s="108"/>
    </row>
    <row r="48" spans="9:10" ht="15.75" x14ac:dyDescent="0.25">
      <c r="I48" s="107"/>
      <c r="J48" s="108"/>
    </row>
    <row r="49" spans="9:10" ht="15.75" x14ac:dyDescent="0.25">
      <c r="I49" s="107"/>
      <c r="J49" s="108"/>
    </row>
    <row r="50" spans="9:10" ht="15.75" x14ac:dyDescent="0.25">
      <c r="I50" s="107"/>
      <c r="J50" s="108"/>
    </row>
    <row r="51" spans="9:10" ht="15.75" x14ac:dyDescent="0.25">
      <c r="I51" s="107"/>
      <c r="J51" s="108"/>
    </row>
    <row r="52" spans="9:10" ht="15.75" x14ac:dyDescent="0.25">
      <c r="I52" s="107"/>
      <c r="J52" s="108"/>
    </row>
    <row r="53" spans="9:10" ht="15.75" x14ac:dyDescent="0.25">
      <c r="I53" s="107"/>
      <c r="J53" s="108"/>
    </row>
    <row r="54" spans="9:10" ht="15.75" x14ac:dyDescent="0.25">
      <c r="I54" s="107"/>
      <c r="J54" s="108"/>
    </row>
    <row r="55" spans="9:10" ht="15.75" x14ac:dyDescent="0.25">
      <c r="I55" s="107"/>
      <c r="J55" s="108"/>
    </row>
    <row r="56" spans="9:10" ht="15.75" x14ac:dyDescent="0.25">
      <c r="I56" s="107"/>
      <c r="J56" s="108"/>
    </row>
    <row r="57" spans="9:10" ht="16.5" thickBot="1" x14ac:dyDescent="0.3">
      <c r="I57" s="109"/>
      <c r="J57" s="110"/>
    </row>
  </sheetData>
  <sortState ref="A5:F30">
    <sortCondition ref="A5:A30"/>
  </sortState>
  <mergeCells count="3">
    <mergeCell ref="A1:G1"/>
    <mergeCell ref="C3:D3"/>
    <mergeCell ref="F3:G3"/>
  </mergeCells>
  <pageMargins left="0.7" right="0.7" top="0.75" bottom="0.75" header="0.3" footer="0.3"/>
  <pageSetup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7"/>
  <sheetViews>
    <sheetView topLeftCell="A153" workbookViewId="0">
      <selection activeCell="C166" sqref="C166"/>
    </sheetView>
  </sheetViews>
  <sheetFormatPr defaultColWidth="23.7109375" defaultRowHeight="18" customHeight="1" x14ac:dyDescent="0.25"/>
  <cols>
    <col min="2" max="2" width="33.5703125" customWidth="1"/>
    <col min="3" max="3" width="38.42578125" style="5" customWidth="1"/>
  </cols>
  <sheetData>
    <row r="1" spans="1:3" ht="53.25" customHeight="1" x14ac:dyDescent="0.25">
      <c r="A1" s="460" t="s">
        <v>3083</v>
      </c>
      <c r="B1" s="460"/>
      <c r="C1" s="460"/>
    </row>
    <row r="2" spans="1:3" ht="18" customHeight="1" thickBot="1" x14ac:dyDescent="0.3">
      <c r="A2" s="22"/>
      <c r="B2" s="22"/>
      <c r="C2" s="117"/>
    </row>
    <row r="3" spans="1:3" ht="18" customHeight="1" thickBot="1" x14ac:dyDescent="0.3">
      <c r="A3" s="114" t="s">
        <v>382</v>
      </c>
      <c r="B3" s="114" t="s">
        <v>242</v>
      </c>
      <c r="C3" s="114" t="s">
        <v>243</v>
      </c>
    </row>
    <row r="4" spans="1:3" ht="18" customHeight="1" x14ac:dyDescent="0.25">
      <c r="A4" s="115" t="s">
        <v>401</v>
      </c>
      <c r="B4" s="115" t="s">
        <v>1021</v>
      </c>
      <c r="C4" s="115" t="s">
        <v>1020</v>
      </c>
    </row>
    <row r="5" spans="1:3" ht="18" customHeight="1" x14ac:dyDescent="0.25">
      <c r="A5" s="115" t="s">
        <v>401</v>
      </c>
      <c r="B5" s="115" t="s">
        <v>1023</v>
      </c>
      <c r="C5" s="118" t="s">
        <v>1022</v>
      </c>
    </row>
    <row r="6" spans="1:3" ht="18" customHeight="1" x14ac:dyDescent="0.25">
      <c r="A6" s="115" t="s">
        <v>401</v>
      </c>
      <c r="B6" s="115" t="s">
        <v>1025</v>
      </c>
      <c r="C6" s="118" t="s">
        <v>1024</v>
      </c>
    </row>
    <row r="7" spans="1:3" ht="18" customHeight="1" x14ac:dyDescent="0.25">
      <c r="A7" s="115" t="s">
        <v>401</v>
      </c>
      <c r="B7" s="115" t="s">
        <v>1027</v>
      </c>
      <c r="C7" s="118" t="s">
        <v>1026</v>
      </c>
    </row>
    <row r="8" spans="1:3" ht="18" customHeight="1" x14ac:dyDescent="0.25">
      <c r="A8" s="115" t="s">
        <v>401</v>
      </c>
      <c r="B8" s="115" t="s">
        <v>1029</v>
      </c>
      <c r="C8" s="118" t="s">
        <v>1028</v>
      </c>
    </row>
    <row r="9" spans="1:3" ht="18" customHeight="1" x14ac:dyDescent="0.25">
      <c r="A9" s="115" t="s">
        <v>401</v>
      </c>
      <c r="B9" s="115" t="s">
        <v>1031</v>
      </c>
      <c r="C9" s="118" t="s">
        <v>1030</v>
      </c>
    </row>
    <row r="10" spans="1:3" ht="18" customHeight="1" x14ac:dyDescent="0.25">
      <c r="A10" s="115" t="s">
        <v>401</v>
      </c>
      <c r="B10" s="115" t="s">
        <v>1033</v>
      </c>
      <c r="C10" s="118" t="s">
        <v>1032</v>
      </c>
    </row>
    <row r="11" spans="1:3" ht="18" customHeight="1" x14ac:dyDescent="0.25">
      <c r="A11" s="115" t="s">
        <v>405</v>
      </c>
      <c r="B11" s="115" t="s">
        <v>1394</v>
      </c>
      <c r="C11" s="118" t="s">
        <v>1393</v>
      </c>
    </row>
    <row r="12" spans="1:3" ht="18" customHeight="1" x14ac:dyDescent="0.25">
      <c r="A12" s="115" t="s">
        <v>409</v>
      </c>
      <c r="B12" s="115" t="s">
        <v>1713</v>
      </c>
      <c r="C12" s="115" t="s">
        <v>1712</v>
      </c>
    </row>
    <row r="13" spans="1:3" ht="18" customHeight="1" x14ac:dyDescent="0.25">
      <c r="A13" s="115" t="s">
        <v>409</v>
      </c>
      <c r="B13" s="115" t="s">
        <v>504</v>
      </c>
      <c r="C13" s="118" t="s">
        <v>1714</v>
      </c>
    </row>
    <row r="14" spans="1:3" ht="18" customHeight="1" x14ac:dyDescent="0.25">
      <c r="A14" s="115" t="s">
        <v>409</v>
      </c>
      <c r="B14" s="115" t="s">
        <v>1716</v>
      </c>
      <c r="C14" s="118" t="s">
        <v>1715</v>
      </c>
    </row>
    <row r="15" spans="1:3" ht="18" customHeight="1" x14ac:dyDescent="0.25">
      <c r="A15" s="115" t="s">
        <v>409</v>
      </c>
      <c r="B15" s="115" t="s">
        <v>1718</v>
      </c>
      <c r="C15" s="118" t="s">
        <v>1717</v>
      </c>
    </row>
    <row r="16" spans="1:3" ht="18" customHeight="1" x14ac:dyDescent="0.25">
      <c r="A16" s="115" t="s">
        <v>411</v>
      </c>
      <c r="B16" s="115" t="s">
        <v>909</v>
      </c>
      <c r="C16" s="118" t="s">
        <v>908</v>
      </c>
    </row>
    <row r="17" spans="1:3" ht="18" customHeight="1" x14ac:dyDescent="0.25">
      <c r="A17" s="115" t="s">
        <v>411</v>
      </c>
      <c r="B17" s="115" t="s">
        <v>911</v>
      </c>
      <c r="C17" s="118" t="s">
        <v>910</v>
      </c>
    </row>
    <row r="18" spans="1:3" ht="18" customHeight="1" x14ac:dyDescent="0.25">
      <c r="A18" s="115" t="s">
        <v>411</v>
      </c>
      <c r="B18" s="115" t="s">
        <v>913</v>
      </c>
      <c r="C18" s="118" t="s">
        <v>912</v>
      </c>
    </row>
    <row r="19" spans="1:3" ht="18" customHeight="1" x14ac:dyDescent="0.25">
      <c r="A19" s="115" t="s">
        <v>411</v>
      </c>
      <c r="B19" s="115" t="s">
        <v>915</v>
      </c>
      <c r="C19" s="118" t="s">
        <v>914</v>
      </c>
    </row>
    <row r="20" spans="1:3" ht="18" customHeight="1" x14ac:dyDescent="0.25">
      <c r="A20" s="115" t="s">
        <v>411</v>
      </c>
      <c r="B20" s="115" t="s">
        <v>917</v>
      </c>
      <c r="C20" s="118" t="s">
        <v>916</v>
      </c>
    </row>
    <row r="21" spans="1:3" ht="18" customHeight="1" x14ac:dyDescent="0.25">
      <c r="A21" s="115" t="s">
        <v>411</v>
      </c>
      <c r="B21" s="115" t="s">
        <v>919</v>
      </c>
      <c r="C21" s="118" t="s">
        <v>918</v>
      </c>
    </row>
    <row r="22" spans="1:3" ht="18" customHeight="1" x14ac:dyDescent="0.25">
      <c r="A22" s="115" t="s">
        <v>411</v>
      </c>
      <c r="B22" s="115" t="s">
        <v>921</v>
      </c>
      <c r="C22" s="115" t="s">
        <v>920</v>
      </c>
    </row>
    <row r="23" spans="1:3" ht="18" customHeight="1" x14ac:dyDescent="0.25">
      <c r="A23" s="115" t="s">
        <v>411</v>
      </c>
      <c r="B23" s="115" t="s">
        <v>923</v>
      </c>
      <c r="C23" s="118" t="s">
        <v>922</v>
      </c>
    </row>
    <row r="24" spans="1:3" ht="18" customHeight="1" x14ac:dyDescent="0.25">
      <c r="A24" s="115" t="s">
        <v>411</v>
      </c>
      <c r="B24" s="115" t="s">
        <v>925</v>
      </c>
      <c r="C24" s="118" t="s">
        <v>924</v>
      </c>
    </row>
    <row r="25" spans="1:3" ht="18" customHeight="1" x14ac:dyDescent="0.25">
      <c r="A25" s="115" t="s">
        <v>411</v>
      </c>
      <c r="B25" s="115" t="s">
        <v>927</v>
      </c>
      <c r="C25" s="118" t="s">
        <v>926</v>
      </c>
    </row>
    <row r="26" spans="1:3" ht="18" customHeight="1" x14ac:dyDescent="0.25">
      <c r="A26" s="115" t="s">
        <v>411</v>
      </c>
      <c r="B26" s="115" t="s">
        <v>929</v>
      </c>
      <c r="C26" s="118" t="s">
        <v>928</v>
      </c>
    </row>
    <row r="27" spans="1:3" ht="18" customHeight="1" x14ac:dyDescent="0.25">
      <c r="A27" s="115" t="s">
        <v>411</v>
      </c>
      <c r="B27" s="115" t="s">
        <v>931</v>
      </c>
      <c r="C27" s="118" t="s">
        <v>930</v>
      </c>
    </row>
    <row r="28" spans="1:3" ht="18" customHeight="1" x14ac:dyDescent="0.25">
      <c r="A28" s="115" t="s">
        <v>411</v>
      </c>
      <c r="B28" s="115" t="s">
        <v>933</v>
      </c>
      <c r="C28" s="118" t="s">
        <v>932</v>
      </c>
    </row>
    <row r="29" spans="1:3" ht="18" customHeight="1" x14ac:dyDescent="0.25">
      <c r="A29" s="115" t="s">
        <v>411</v>
      </c>
      <c r="B29" s="115" t="s">
        <v>935</v>
      </c>
      <c r="C29" s="118" t="s">
        <v>934</v>
      </c>
    </row>
    <row r="30" spans="1:3" ht="18" customHeight="1" x14ac:dyDescent="0.25">
      <c r="A30" s="115" t="s">
        <v>411</v>
      </c>
      <c r="B30" s="115" t="s">
        <v>937</v>
      </c>
      <c r="C30" s="118" t="s">
        <v>936</v>
      </c>
    </row>
    <row r="31" spans="1:3" ht="18" customHeight="1" x14ac:dyDescent="0.25">
      <c r="A31" s="115" t="s">
        <v>411</v>
      </c>
      <c r="B31" s="115" t="s">
        <v>939</v>
      </c>
      <c r="C31" s="118" t="s">
        <v>938</v>
      </c>
    </row>
    <row r="32" spans="1:3" ht="18" customHeight="1" x14ac:dyDescent="0.25">
      <c r="A32" s="115" t="s">
        <v>411</v>
      </c>
      <c r="B32" s="115" t="s">
        <v>941</v>
      </c>
      <c r="C32" s="118" t="s">
        <v>940</v>
      </c>
    </row>
    <row r="33" spans="1:3" ht="18" customHeight="1" x14ac:dyDescent="0.25">
      <c r="A33" s="115" t="s">
        <v>411</v>
      </c>
      <c r="B33" s="115" t="s">
        <v>943</v>
      </c>
      <c r="C33" s="115" t="s">
        <v>942</v>
      </c>
    </row>
    <row r="34" spans="1:3" ht="18" customHeight="1" x14ac:dyDescent="0.25">
      <c r="A34" s="115" t="s">
        <v>411</v>
      </c>
      <c r="B34" s="115" t="s">
        <v>945</v>
      </c>
      <c r="C34" s="118" t="s">
        <v>944</v>
      </c>
    </row>
    <row r="35" spans="1:3" ht="18" customHeight="1" x14ac:dyDescent="0.25">
      <c r="A35" s="115" t="s">
        <v>411</v>
      </c>
      <c r="B35" s="115" t="s">
        <v>947</v>
      </c>
      <c r="C35" s="118" t="s">
        <v>946</v>
      </c>
    </row>
    <row r="36" spans="1:3" ht="18" customHeight="1" x14ac:dyDescent="0.25">
      <c r="A36" s="115" t="s">
        <v>411</v>
      </c>
      <c r="B36" s="115" t="s">
        <v>949</v>
      </c>
      <c r="C36" s="115" t="s">
        <v>948</v>
      </c>
    </row>
    <row r="37" spans="1:3" ht="18" customHeight="1" x14ac:dyDescent="0.25">
      <c r="A37" s="115" t="s">
        <v>411</v>
      </c>
      <c r="B37" s="115" t="s">
        <v>951</v>
      </c>
      <c r="C37" s="118" t="s">
        <v>950</v>
      </c>
    </row>
    <row r="38" spans="1:3" ht="18" customHeight="1" x14ac:dyDescent="0.25">
      <c r="A38" s="115" t="s">
        <v>411</v>
      </c>
      <c r="B38" s="115" t="s">
        <v>953</v>
      </c>
      <c r="C38" s="118" t="s">
        <v>952</v>
      </c>
    </row>
    <row r="39" spans="1:3" ht="18" customHeight="1" x14ac:dyDescent="0.25">
      <c r="A39" s="115" t="s">
        <v>411</v>
      </c>
      <c r="B39" s="115" t="s">
        <v>955</v>
      </c>
      <c r="C39" s="118" t="s">
        <v>954</v>
      </c>
    </row>
    <row r="40" spans="1:3" ht="18" customHeight="1" x14ac:dyDescent="0.25">
      <c r="A40" s="115" t="s">
        <v>411</v>
      </c>
      <c r="B40" s="115" t="s">
        <v>957</v>
      </c>
      <c r="C40" s="118" t="s">
        <v>956</v>
      </c>
    </row>
    <row r="41" spans="1:3" ht="18" customHeight="1" x14ac:dyDescent="0.25">
      <c r="A41" s="115" t="s">
        <v>411</v>
      </c>
      <c r="B41" s="115" t="s">
        <v>959</v>
      </c>
      <c r="C41" s="118" t="s">
        <v>958</v>
      </c>
    </row>
    <row r="42" spans="1:3" ht="18" customHeight="1" x14ac:dyDescent="0.25">
      <c r="A42" s="115" t="s">
        <v>411</v>
      </c>
      <c r="B42" s="115" t="s">
        <v>961</v>
      </c>
      <c r="C42" s="118" t="s">
        <v>960</v>
      </c>
    </row>
    <row r="43" spans="1:3" ht="18" customHeight="1" x14ac:dyDescent="0.25">
      <c r="A43" s="115" t="s">
        <v>411</v>
      </c>
      <c r="B43" s="115" t="s">
        <v>963</v>
      </c>
      <c r="C43" s="118" t="s">
        <v>962</v>
      </c>
    </row>
    <row r="44" spans="1:3" ht="18" customHeight="1" x14ac:dyDescent="0.25">
      <c r="A44" s="115" t="s">
        <v>411</v>
      </c>
      <c r="B44" s="115" t="s">
        <v>965</v>
      </c>
      <c r="C44" s="118" t="s">
        <v>964</v>
      </c>
    </row>
    <row r="45" spans="1:3" ht="18" customHeight="1" x14ac:dyDescent="0.25">
      <c r="A45" s="115" t="s">
        <v>411</v>
      </c>
      <c r="B45" s="115" t="s">
        <v>967</v>
      </c>
      <c r="C45" s="118" t="s">
        <v>966</v>
      </c>
    </row>
    <row r="46" spans="1:3" ht="18" customHeight="1" x14ac:dyDescent="0.25">
      <c r="A46" s="115" t="s">
        <v>411</v>
      </c>
      <c r="B46" s="115" t="s">
        <v>969</v>
      </c>
      <c r="C46" s="118" t="s">
        <v>968</v>
      </c>
    </row>
    <row r="47" spans="1:3" ht="18" customHeight="1" x14ac:dyDescent="0.25">
      <c r="A47" s="115" t="s">
        <v>411</v>
      </c>
      <c r="B47" s="115" t="s">
        <v>971</v>
      </c>
      <c r="C47" s="118" t="s">
        <v>970</v>
      </c>
    </row>
    <row r="48" spans="1:3" ht="18" customHeight="1" x14ac:dyDescent="0.25">
      <c r="A48" s="115" t="s">
        <v>411</v>
      </c>
      <c r="B48" s="115" t="s">
        <v>973</v>
      </c>
      <c r="C48" s="118" t="s">
        <v>972</v>
      </c>
    </row>
    <row r="49" spans="1:3" ht="18" customHeight="1" x14ac:dyDescent="0.25">
      <c r="A49" s="115" t="s">
        <v>411</v>
      </c>
      <c r="B49" s="115" t="s">
        <v>975</v>
      </c>
      <c r="C49" s="118" t="s">
        <v>974</v>
      </c>
    </row>
    <row r="50" spans="1:3" ht="18" customHeight="1" x14ac:dyDescent="0.25">
      <c r="A50" s="115" t="s">
        <v>415</v>
      </c>
      <c r="B50" s="115" t="s">
        <v>977</v>
      </c>
      <c r="C50" s="115" t="s">
        <v>976</v>
      </c>
    </row>
    <row r="51" spans="1:3" ht="18" customHeight="1" x14ac:dyDescent="0.25">
      <c r="A51" s="115" t="s">
        <v>415</v>
      </c>
      <c r="B51" s="115" t="s">
        <v>978</v>
      </c>
      <c r="C51" s="118" t="s">
        <v>1802</v>
      </c>
    </row>
    <row r="52" spans="1:3" ht="18" customHeight="1" x14ac:dyDescent="0.25">
      <c r="A52" s="115" t="s">
        <v>415</v>
      </c>
      <c r="B52" s="115" t="s">
        <v>980</v>
      </c>
      <c r="C52" s="118" t="s">
        <v>979</v>
      </c>
    </row>
    <row r="53" spans="1:3" ht="18" customHeight="1" x14ac:dyDescent="0.25">
      <c r="A53" s="115" t="s">
        <v>415</v>
      </c>
      <c r="B53" s="115" t="s">
        <v>982</v>
      </c>
      <c r="C53" s="118" t="s">
        <v>981</v>
      </c>
    </row>
    <row r="54" spans="1:3" ht="18" customHeight="1" x14ac:dyDescent="0.25">
      <c r="A54" s="115" t="s">
        <v>415</v>
      </c>
      <c r="B54" s="115" t="s">
        <v>984</v>
      </c>
      <c r="C54" s="118" t="s">
        <v>983</v>
      </c>
    </row>
    <row r="55" spans="1:3" ht="18" customHeight="1" x14ac:dyDescent="0.25">
      <c r="A55" s="115" t="s">
        <v>415</v>
      </c>
      <c r="B55" s="115" t="s">
        <v>990</v>
      </c>
      <c r="C55" s="118" t="s">
        <v>989</v>
      </c>
    </row>
    <row r="56" spans="1:3" ht="18" customHeight="1" x14ac:dyDescent="0.25">
      <c r="A56" s="115" t="s">
        <v>415</v>
      </c>
      <c r="B56" s="115" t="s">
        <v>992</v>
      </c>
      <c r="C56" s="118" t="s">
        <v>991</v>
      </c>
    </row>
    <row r="57" spans="1:3" ht="18" customHeight="1" x14ac:dyDescent="0.25">
      <c r="A57" s="115" t="s">
        <v>415</v>
      </c>
      <c r="B57" s="115" t="s">
        <v>1003</v>
      </c>
      <c r="C57" s="118" t="s">
        <v>1002</v>
      </c>
    </row>
    <row r="58" spans="1:3" ht="18" customHeight="1" x14ac:dyDescent="0.25">
      <c r="A58" s="115" t="s">
        <v>415</v>
      </c>
      <c r="B58" s="115" t="s">
        <v>1005</v>
      </c>
      <c r="C58" s="118" t="s">
        <v>1004</v>
      </c>
    </row>
    <row r="59" spans="1:3" ht="18" customHeight="1" x14ac:dyDescent="0.25">
      <c r="A59" s="115" t="s">
        <v>415</v>
      </c>
      <c r="B59" s="115" t="s">
        <v>1007</v>
      </c>
      <c r="C59" s="118" t="s">
        <v>1006</v>
      </c>
    </row>
    <row r="60" spans="1:3" ht="18" customHeight="1" x14ac:dyDescent="0.25">
      <c r="A60" s="115" t="s">
        <v>415</v>
      </c>
      <c r="B60" s="115" t="s">
        <v>1009</v>
      </c>
      <c r="C60" s="118" t="s">
        <v>1008</v>
      </c>
    </row>
    <row r="61" spans="1:3" ht="18" customHeight="1" x14ac:dyDescent="0.25">
      <c r="A61" s="115" t="s">
        <v>415</v>
      </c>
      <c r="B61" s="115" t="s">
        <v>1011</v>
      </c>
      <c r="C61" s="118" t="s">
        <v>1010</v>
      </c>
    </row>
    <row r="62" spans="1:3" ht="18" customHeight="1" x14ac:dyDescent="0.25">
      <c r="A62" s="115" t="s">
        <v>415</v>
      </c>
      <c r="B62" s="115" t="s">
        <v>1013</v>
      </c>
      <c r="C62" s="118" t="s">
        <v>1012</v>
      </c>
    </row>
    <row r="63" spans="1:3" ht="18" customHeight="1" x14ac:dyDescent="0.25">
      <c r="A63" s="115" t="s">
        <v>415</v>
      </c>
      <c r="B63" s="115" t="s">
        <v>1015</v>
      </c>
      <c r="C63" s="118" t="s">
        <v>1014</v>
      </c>
    </row>
    <row r="64" spans="1:3" ht="18" customHeight="1" x14ac:dyDescent="0.25">
      <c r="A64" s="115" t="s">
        <v>415</v>
      </c>
      <c r="B64" s="115" t="s">
        <v>1017</v>
      </c>
      <c r="C64" s="118" t="s">
        <v>1016</v>
      </c>
    </row>
    <row r="65" spans="1:3" ht="18" customHeight="1" x14ac:dyDescent="0.25">
      <c r="A65" s="115" t="s">
        <v>415</v>
      </c>
      <c r="B65" s="115" t="s">
        <v>1019</v>
      </c>
      <c r="C65" s="118" t="s">
        <v>1018</v>
      </c>
    </row>
    <row r="66" spans="1:3" ht="18" customHeight="1" x14ac:dyDescent="0.25">
      <c r="A66" s="115" t="s">
        <v>442</v>
      </c>
      <c r="B66" s="115" t="s">
        <v>754</v>
      </c>
      <c r="C66" s="118" t="s">
        <v>753</v>
      </c>
    </row>
    <row r="67" spans="1:3" ht="18" customHeight="1" x14ac:dyDescent="0.25">
      <c r="A67" s="115" t="s">
        <v>442</v>
      </c>
      <c r="B67" s="115" t="s">
        <v>756</v>
      </c>
      <c r="C67" s="118" t="s">
        <v>755</v>
      </c>
    </row>
    <row r="68" spans="1:3" ht="18" customHeight="1" x14ac:dyDescent="0.25">
      <c r="A68" s="115" t="s">
        <v>442</v>
      </c>
      <c r="B68" s="115" t="s">
        <v>758</v>
      </c>
      <c r="C68" s="115" t="s">
        <v>757</v>
      </c>
    </row>
    <row r="69" spans="1:3" ht="18" customHeight="1" x14ac:dyDescent="0.25">
      <c r="A69" s="115" t="s">
        <v>442</v>
      </c>
      <c r="B69" s="115" t="s">
        <v>760</v>
      </c>
      <c r="C69" s="118" t="s">
        <v>759</v>
      </c>
    </row>
    <row r="70" spans="1:3" ht="18" customHeight="1" x14ac:dyDescent="0.25">
      <c r="A70" s="115" t="s">
        <v>442</v>
      </c>
      <c r="B70" s="115" t="s">
        <v>775</v>
      </c>
      <c r="C70" s="115" t="s">
        <v>774</v>
      </c>
    </row>
    <row r="71" spans="1:3" ht="18" customHeight="1" x14ac:dyDescent="0.25">
      <c r="A71" s="115" t="s">
        <v>442</v>
      </c>
      <c r="B71" s="115" t="s">
        <v>786</v>
      </c>
      <c r="C71" s="118" t="s">
        <v>785</v>
      </c>
    </row>
    <row r="72" spans="1:3" ht="18" customHeight="1" x14ac:dyDescent="0.25">
      <c r="A72" s="115" t="s">
        <v>442</v>
      </c>
      <c r="B72" s="115" t="s">
        <v>788</v>
      </c>
      <c r="C72" s="118" t="s">
        <v>787</v>
      </c>
    </row>
    <row r="73" spans="1:3" ht="18" customHeight="1" x14ac:dyDescent="0.25">
      <c r="A73" s="115" t="s">
        <v>442</v>
      </c>
      <c r="B73" s="115" t="s">
        <v>790</v>
      </c>
      <c r="C73" s="118" t="s">
        <v>789</v>
      </c>
    </row>
    <row r="74" spans="1:3" ht="18" customHeight="1" x14ac:dyDescent="0.25">
      <c r="A74" s="115" t="s">
        <v>442</v>
      </c>
      <c r="B74" s="115" t="s">
        <v>792</v>
      </c>
      <c r="C74" s="118" t="s">
        <v>791</v>
      </c>
    </row>
    <row r="75" spans="1:3" ht="18" customHeight="1" x14ac:dyDescent="0.25">
      <c r="A75" s="115" t="s">
        <v>442</v>
      </c>
      <c r="B75" s="115" t="s">
        <v>796</v>
      </c>
      <c r="C75" s="118" t="s">
        <v>795</v>
      </c>
    </row>
    <row r="76" spans="1:3" ht="18" customHeight="1" x14ac:dyDescent="0.25">
      <c r="A76" s="115" t="s">
        <v>442</v>
      </c>
      <c r="B76" s="115" t="s">
        <v>798</v>
      </c>
      <c r="C76" s="118" t="s">
        <v>797</v>
      </c>
    </row>
    <row r="77" spans="1:3" ht="18" customHeight="1" x14ac:dyDescent="0.25">
      <c r="A77" s="115" t="s">
        <v>442</v>
      </c>
      <c r="B77" s="115" t="s">
        <v>800</v>
      </c>
      <c r="C77" s="118" t="s">
        <v>799</v>
      </c>
    </row>
    <row r="78" spans="1:3" ht="18" customHeight="1" x14ac:dyDescent="0.25">
      <c r="A78" s="115" t="s">
        <v>442</v>
      </c>
      <c r="B78" s="115" t="s">
        <v>802</v>
      </c>
      <c r="C78" s="118" t="s">
        <v>801</v>
      </c>
    </row>
    <row r="79" spans="1:3" ht="18" customHeight="1" x14ac:dyDescent="0.25">
      <c r="A79" s="115" t="s">
        <v>442</v>
      </c>
      <c r="B79" s="115" t="s">
        <v>804</v>
      </c>
      <c r="C79" s="118" t="s">
        <v>803</v>
      </c>
    </row>
    <row r="80" spans="1:3" ht="18" customHeight="1" x14ac:dyDescent="0.25">
      <c r="A80" s="115" t="s">
        <v>442</v>
      </c>
      <c r="B80" s="115" t="s">
        <v>808</v>
      </c>
      <c r="C80" s="118" t="s">
        <v>807</v>
      </c>
    </row>
    <row r="81" spans="1:3" ht="18" customHeight="1" x14ac:dyDescent="0.25">
      <c r="A81" s="115" t="s">
        <v>442</v>
      </c>
      <c r="B81" s="115" t="s">
        <v>810</v>
      </c>
      <c r="C81" s="118" t="s">
        <v>809</v>
      </c>
    </row>
    <row r="82" spans="1:3" ht="18" customHeight="1" x14ac:dyDescent="0.25">
      <c r="A82" s="115" t="s">
        <v>442</v>
      </c>
      <c r="B82" s="115" t="s">
        <v>812</v>
      </c>
      <c r="C82" s="118" t="s">
        <v>811</v>
      </c>
    </row>
    <row r="83" spans="1:3" ht="18" customHeight="1" x14ac:dyDescent="0.25">
      <c r="A83" s="115" t="s">
        <v>442</v>
      </c>
      <c r="B83" s="115" t="s">
        <v>814</v>
      </c>
      <c r="C83" s="118" t="s">
        <v>813</v>
      </c>
    </row>
    <row r="84" spans="1:3" ht="18" customHeight="1" x14ac:dyDescent="0.25">
      <c r="A84" s="115" t="s">
        <v>442</v>
      </c>
      <c r="B84" s="115" t="s">
        <v>817</v>
      </c>
      <c r="C84" s="118" t="s">
        <v>1803</v>
      </c>
    </row>
    <row r="85" spans="1:3" ht="18" customHeight="1" x14ac:dyDescent="0.25">
      <c r="A85" s="115" t="s">
        <v>442</v>
      </c>
      <c r="B85" s="115" t="s">
        <v>821</v>
      </c>
      <c r="C85" s="118" t="s">
        <v>820</v>
      </c>
    </row>
    <row r="86" spans="1:3" ht="18" customHeight="1" x14ac:dyDescent="0.25">
      <c r="A86" s="115" t="s">
        <v>442</v>
      </c>
      <c r="B86" s="115" t="s">
        <v>823</v>
      </c>
      <c r="C86" s="118" t="s">
        <v>822</v>
      </c>
    </row>
    <row r="87" spans="1:3" ht="18" customHeight="1" x14ac:dyDescent="0.25">
      <c r="A87" s="115" t="s">
        <v>442</v>
      </c>
      <c r="B87" s="115" t="s">
        <v>825</v>
      </c>
      <c r="C87" s="118" t="s">
        <v>824</v>
      </c>
    </row>
    <row r="88" spans="1:3" ht="18" customHeight="1" x14ac:dyDescent="0.25">
      <c r="A88" s="115" t="s">
        <v>442</v>
      </c>
      <c r="B88" s="115" t="s">
        <v>827</v>
      </c>
      <c r="C88" s="118" t="s">
        <v>826</v>
      </c>
    </row>
    <row r="89" spans="1:3" ht="18" customHeight="1" x14ac:dyDescent="0.25">
      <c r="A89" s="115" t="s">
        <v>463</v>
      </c>
      <c r="B89" s="115" t="s">
        <v>1092</v>
      </c>
      <c r="C89" s="118" t="s">
        <v>1091</v>
      </c>
    </row>
    <row r="90" spans="1:3" ht="18" customHeight="1" x14ac:dyDescent="0.25">
      <c r="A90" s="115" t="s">
        <v>463</v>
      </c>
      <c r="B90" s="115" t="s">
        <v>1354</v>
      </c>
      <c r="C90" s="118" t="s">
        <v>1353</v>
      </c>
    </row>
    <row r="91" spans="1:3" ht="18" customHeight="1" x14ac:dyDescent="0.25">
      <c r="A91" s="115" t="s">
        <v>463</v>
      </c>
      <c r="B91" s="115" t="s">
        <v>1364</v>
      </c>
      <c r="C91" s="115" t="s">
        <v>1363</v>
      </c>
    </row>
    <row r="92" spans="1:3" ht="18" customHeight="1" x14ac:dyDescent="0.25">
      <c r="A92" s="115" t="s">
        <v>463</v>
      </c>
      <c r="B92" s="115" t="s">
        <v>1366</v>
      </c>
      <c r="C92" s="118" t="s">
        <v>1365</v>
      </c>
    </row>
    <row r="93" spans="1:3" ht="18" customHeight="1" x14ac:dyDescent="0.25">
      <c r="A93" s="115" t="s">
        <v>463</v>
      </c>
      <c r="B93" s="115" t="s">
        <v>1368</v>
      </c>
      <c r="C93" s="118" t="s">
        <v>1367</v>
      </c>
    </row>
    <row r="94" spans="1:3" ht="18" customHeight="1" x14ac:dyDescent="0.25">
      <c r="A94" s="115" t="s">
        <v>463</v>
      </c>
      <c r="B94" s="115" t="s">
        <v>1370</v>
      </c>
      <c r="C94" s="118" t="s">
        <v>1369</v>
      </c>
    </row>
    <row r="95" spans="1:3" ht="18" customHeight="1" x14ac:dyDescent="0.25">
      <c r="A95" s="115" t="s">
        <v>463</v>
      </c>
      <c r="B95" s="115" t="s">
        <v>1372</v>
      </c>
      <c r="C95" s="118" t="s">
        <v>1371</v>
      </c>
    </row>
    <row r="96" spans="1:3" ht="18" customHeight="1" x14ac:dyDescent="0.25">
      <c r="A96" s="115" t="s">
        <v>463</v>
      </c>
      <c r="B96" s="115" t="s">
        <v>1379</v>
      </c>
      <c r="C96" s="118" t="s">
        <v>1378</v>
      </c>
    </row>
    <row r="97" spans="1:3" ht="18" customHeight="1" x14ac:dyDescent="0.25">
      <c r="A97" s="115" t="s">
        <v>463</v>
      </c>
      <c r="B97" s="115" t="s">
        <v>1587</v>
      </c>
      <c r="C97" s="118" t="s">
        <v>1586</v>
      </c>
    </row>
    <row r="98" spans="1:3" ht="18" customHeight="1" x14ac:dyDescent="0.25">
      <c r="A98" s="115" t="s">
        <v>463</v>
      </c>
      <c r="B98" s="115" t="s">
        <v>1653</v>
      </c>
      <c r="C98" s="118" t="s">
        <v>1804</v>
      </c>
    </row>
    <row r="99" spans="1:3" ht="18" customHeight="1" x14ac:dyDescent="0.25">
      <c r="A99" s="115" t="s">
        <v>463</v>
      </c>
      <c r="B99" s="115" t="s">
        <v>1655</v>
      </c>
      <c r="C99" s="118" t="s">
        <v>1654</v>
      </c>
    </row>
    <row r="100" spans="1:3" ht="18" customHeight="1" x14ac:dyDescent="0.25">
      <c r="A100" s="115" t="s">
        <v>463</v>
      </c>
      <c r="B100" s="115" t="s">
        <v>1657</v>
      </c>
      <c r="C100" s="118" t="s">
        <v>1656</v>
      </c>
    </row>
    <row r="101" spans="1:3" ht="18" customHeight="1" x14ac:dyDescent="0.25">
      <c r="A101" s="115" t="s">
        <v>463</v>
      </c>
      <c r="B101" s="115" t="s">
        <v>1659</v>
      </c>
      <c r="C101" s="118" t="s">
        <v>1658</v>
      </c>
    </row>
    <row r="102" spans="1:3" ht="18" customHeight="1" x14ac:dyDescent="0.25">
      <c r="A102" s="115" t="s">
        <v>438</v>
      </c>
      <c r="B102" s="115" t="s">
        <v>1737</v>
      </c>
      <c r="C102" s="118" t="s">
        <v>1805</v>
      </c>
    </row>
    <row r="103" spans="1:3" ht="18" customHeight="1" x14ac:dyDescent="0.25">
      <c r="A103" s="115" t="s">
        <v>438</v>
      </c>
      <c r="B103" s="115" t="s">
        <v>1739</v>
      </c>
      <c r="C103" s="118" t="s">
        <v>1738</v>
      </c>
    </row>
    <row r="104" spans="1:3" ht="18" customHeight="1" x14ac:dyDescent="0.25">
      <c r="A104" s="115" t="s">
        <v>438</v>
      </c>
      <c r="B104" s="115" t="s">
        <v>1741</v>
      </c>
      <c r="C104" s="118" t="s">
        <v>1740</v>
      </c>
    </row>
    <row r="105" spans="1:3" ht="18" customHeight="1" x14ac:dyDescent="0.25">
      <c r="A105" s="115" t="s">
        <v>438</v>
      </c>
      <c r="B105" s="115" t="s">
        <v>1743</v>
      </c>
      <c r="C105" s="118" t="s">
        <v>1742</v>
      </c>
    </row>
    <row r="106" spans="1:3" ht="18" customHeight="1" x14ac:dyDescent="0.25">
      <c r="A106" s="115" t="s">
        <v>438</v>
      </c>
      <c r="B106" s="115" t="s">
        <v>1745</v>
      </c>
      <c r="C106" s="118" t="s">
        <v>1744</v>
      </c>
    </row>
    <row r="107" spans="1:3" ht="18" customHeight="1" x14ac:dyDescent="0.25">
      <c r="A107" s="115" t="s">
        <v>438</v>
      </c>
      <c r="B107" s="115" t="s">
        <v>1747</v>
      </c>
      <c r="C107" s="118" t="s">
        <v>1746</v>
      </c>
    </row>
    <row r="108" spans="1:3" ht="18" customHeight="1" x14ac:dyDescent="0.25">
      <c r="A108" s="115" t="s">
        <v>438</v>
      </c>
      <c r="B108" s="115" t="s">
        <v>1749</v>
      </c>
      <c r="C108" s="118" t="s">
        <v>1748</v>
      </c>
    </row>
    <row r="109" spans="1:3" ht="18" customHeight="1" x14ac:dyDescent="0.25">
      <c r="A109" s="115" t="s">
        <v>438</v>
      </c>
      <c r="B109" s="115" t="s">
        <v>1775</v>
      </c>
      <c r="C109" s="118" t="s">
        <v>1774</v>
      </c>
    </row>
    <row r="110" spans="1:3" ht="18" customHeight="1" x14ac:dyDescent="0.25">
      <c r="A110" s="115" t="s">
        <v>459</v>
      </c>
      <c r="B110" s="115" t="s">
        <v>1035</v>
      </c>
      <c r="C110" s="118" t="s">
        <v>1034</v>
      </c>
    </row>
    <row r="111" spans="1:3" ht="18" customHeight="1" x14ac:dyDescent="0.25">
      <c r="A111" s="115" t="s">
        <v>459</v>
      </c>
      <c r="B111" s="115" t="s">
        <v>1084</v>
      </c>
      <c r="C111" s="118" t="s">
        <v>1083</v>
      </c>
    </row>
    <row r="112" spans="1:3" ht="18" customHeight="1" x14ac:dyDescent="0.25">
      <c r="A112" s="115" t="s">
        <v>459</v>
      </c>
      <c r="B112" s="115" t="s">
        <v>1090</v>
      </c>
      <c r="C112" s="118" t="s">
        <v>1089</v>
      </c>
    </row>
    <row r="113" spans="1:3" ht="18" customHeight="1" x14ac:dyDescent="0.25">
      <c r="A113" s="115" t="s">
        <v>459</v>
      </c>
      <c r="B113" s="115" t="s">
        <v>1192</v>
      </c>
      <c r="C113" s="118" t="s">
        <v>1191</v>
      </c>
    </row>
    <row r="114" spans="1:3" ht="18" customHeight="1" x14ac:dyDescent="0.25">
      <c r="A114" s="115" t="s">
        <v>459</v>
      </c>
      <c r="B114" s="115" t="s">
        <v>1262</v>
      </c>
      <c r="C114" s="118" t="s">
        <v>1806</v>
      </c>
    </row>
    <row r="115" spans="1:3" ht="18" customHeight="1" x14ac:dyDescent="0.25">
      <c r="A115" s="115" t="s">
        <v>459</v>
      </c>
      <c r="B115" s="115" t="s">
        <v>1264</v>
      </c>
      <c r="C115" s="118" t="s">
        <v>1263</v>
      </c>
    </row>
    <row r="116" spans="1:3" ht="18" customHeight="1" x14ac:dyDescent="0.25">
      <c r="A116" s="115" t="s">
        <v>459</v>
      </c>
      <c r="B116" s="115" t="s">
        <v>1266</v>
      </c>
      <c r="C116" s="118" t="s">
        <v>1265</v>
      </c>
    </row>
    <row r="117" spans="1:3" ht="18" customHeight="1" x14ac:dyDescent="0.25">
      <c r="A117" s="115" t="s">
        <v>459</v>
      </c>
      <c r="B117" s="115" t="s">
        <v>1268</v>
      </c>
      <c r="C117" s="118" t="s">
        <v>1267</v>
      </c>
    </row>
    <row r="118" spans="1:3" ht="18" customHeight="1" x14ac:dyDescent="0.25">
      <c r="A118" s="115" t="s">
        <v>459</v>
      </c>
      <c r="B118" s="115" t="s">
        <v>1270</v>
      </c>
      <c r="C118" s="118" t="s">
        <v>1269</v>
      </c>
    </row>
    <row r="119" spans="1:3" ht="18" customHeight="1" x14ac:dyDescent="0.25">
      <c r="A119" s="115" t="s">
        <v>459</v>
      </c>
      <c r="B119" s="115" t="s">
        <v>509</v>
      </c>
      <c r="C119" s="118" t="s">
        <v>1373</v>
      </c>
    </row>
    <row r="120" spans="1:3" ht="18" customHeight="1" x14ac:dyDescent="0.25">
      <c r="A120" s="115" t="s">
        <v>459</v>
      </c>
      <c r="B120" s="115" t="s">
        <v>1375</v>
      </c>
      <c r="C120" s="115" t="s">
        <v>1374</v>
      </c>
    </row>
    <row r="121" spans="1:3" ht="18" customHeight="1" x14ac:dyDescent="0.25">
      <c r="A121" s="115" t="s">
        <v>459</v>
      </c>
      <c r="B121" s="115" t="s">
        <v>1380</v>
      </c>
      <c r="C121" s="118" t="s">
        <v>1807</v>
      </c>
    </row>
    <row r="122" spans="1:3" ht="18" customHeight="1" x14ac:dyDescent="0.25">
      <c r="A122" s="115" t="s">
        <v>459</v>
      </c>
      <c r="B122" s="115" t="s">
        <v>1382</v>
      </c>
      <c r="C122" s="118" t="s">
        <v>1381</v>
      </c>
    </row>
    <row r="123" spans="1:3" ht="18" customHeight="1" x14ac:dyDescent="0.25">
      <c r="A123" s="115" t="s">
        <v>459</v>
      </c>
      <c r="B123" s="115" t="s">
        <v>1384</v>
      </c>
      <c r="C123" s="118" t="s">
        <v>1383</v>
      </c>
    </row>
    <row r="124" spans="1:3" ht="18" customHeight="1" x14ac:dyDescent="0.25">
      <c r="A124" s="115" t="s">
        <v>459</v>
      </c>
      <c r="B124" s="115" t="s">
        <v>1386</v>
      </c>
      <c r="C124" s="118" t="s">
        <v>1385</v>
      </c>
    </row>
    <row r="125" spans="1:3" ht="18" customHeight="1" x14ac:dyDescent="0.25">
      <c r="A125" s="115" t="s">
        <v>459</v>
      </c>
      <c r="B125" s="115" t="s">
        <v>1390</v>
      </c>
      <c r="C125" s="118" t="s">
        <v>1389</v>
      </c>
    </row>
    <row r="126" spans="1:3" ht="18" customHeight="1" x14ac:dyDescent="0.25">
      <c r="A126" s="115" t="s">
        <v>459</v>
      </c>
      <c r="B126" s="115" t="s">
        <v>1392</v>
      </c>
      <c r="C126" s="118" t="s">
        <v>1391</v>
      </c>
    </row>
    <row r="127" spans="1:3" ht="18" customHeight="1" x14ac:dyDescent="0.25">
      <c r="A127" s="115" t="s">
        <v>459</v>
      </c>
      <c r="B127" s="115" t="s">
        <v>1396</v>
      </c>
      <c r="C127" s="118" t="s">
        <v>1395</v>
      </c>
    </row>
    <row r="128" spans="1:3" ht="18" customHeight="1" x14ac:dyDescent="0.25">
      <c r="A128" s="115" t="s">
        <v>459</v>
      </c>
      <c r="B128" s="115" t="s">
        <v>1400</v>
      </c>
      <c r="C128" s="118" t="s">
        <v>1399</v>
      </c>
    </row>
    <row r="129" spans="1:3" ht="18" customHeight="1" x14ac:dyDescent="0.25">
      <c r="A129" s="115" t="s">
        <v>459</v>
      </c>
      <c r="B129" s="115" t="s">
        <v>1401</v>
      </c>
      <c r="C129" s="118" t="s">
        <v>1808</v>
      </c>
    </row>
    <row r="130" spans="1:3" ht="18" customHeight="1" x14ac:dyDescent="0.25">
      <c r="A130" s="115" t="s">
        <v>459</v>
      </c>
      <c r="B130" s="115" t="s">
        <v>1403</v>
      </c>
      <c r="C130" s="118" t="s">
        <v>1402</v>
      </c>
    </row>
    <row r="131" spans="1:3" ht="18" customHeight="1" x14ac:dyDescent="0.25">
      <c r="A131" s="115" t="s">
        <v>459</v>
      </c>
      <c r="B131" s="115" t="s">
        <v>1405</v>
      </c>
      <c r="C131" s="118" t="s">
        <v>1404</v>
      </c>
    </row>
    <row r="132" spans="1:3" ht="18" customHeight="1" x14ac:dyDescent="0.25">
      <c r="A132" s="115" t="s">
        <v>459</v>
      </c>
      <c r="B132" s="115" t="s">
        <v>1407</v>
      </c>
      <c r="C132" s="118" t="s">
        <v>1406</v>
      </c>
    </row>
    <row r="133" spans="1:3" ht="18" customHeight="1" x14ac:dyDescent="0.25">
      <c r="A133" s="115" t="s">
        <v>459</v>
      </c>
      <c r="B133" s="115" t="s">
        <v>1409</v>
      </c>
      <c r="C133" s="118" t="s">
        <v>1408</v>
      </c>
    </row>
    <row r="134" spans="1:3" ht="18" customHeight="1" x14ac:dyDescent="0.25">
      <c r="A134" s="115" t="s">
        <v>459</v>
      </c>
      <c r="B134" s="115" t="s">
        <v>1411</v>
      </c>
      <c r="C134" s="118" t="s">
        <v>1410</v>
      </c>
    </row>
    <row r="135" spans="1:3" ht="18" customHeight="1" x14ac:dyDescent="0.25">
      <c r="A135" s="115" t="s">
        <v>459</v>
      </c>
      <c r="B135" s="115" t="s">
        <v>1413</v>
      </c>
      <c r="C135" s="118" t="s">
        <v>1412</v>
      </c>
    </row>
    <row r="136" spans="1:3" ht="18" customHeight="1" x14ac:dyDescent="0.25">
      <c r="A136" s="115" t="s">
        <v>459</v>
      </c>
      <c r="B136" s="115" t="s">
        <v>1415</v>
      </c>
      <c r="C136" s="118" t="s">
        <v>1414</v>
      </c>
    </row>
    <row r="137" spans="1:3" ht="18" customHeight="1" x14ac:dyDescent="0.25">
      <c r="A137" s="115" t="s">
        <v>459</v>
      </c>
      <c r="B137" s="115" t="s">
        <v>1417</v>
      </c>
      <c r="C137" s="118" t="s">
        <v>1416</v>
      </c>
    </row>
    <row r="138" spans="1:3" ht="18" customHeight="1" x14ac:dyDescent="0.25">
      <c r="A138" s="115" t="s">
        <v>459</v>
      </c>
      <c r="B138" s="115" t="s">
        <v>1419</v>
      </c>
      <c r="C138" s="118" t="s">
        <v>1418</v>
      </c>
    </row>
    <row r="139" spans="1:3" ht="18" customHeight="1" x14ac:dyDescent="0.25">
      <c r="A139" s="115" t="s">
        <v>459</v>
      </c>
      <c r="B139" s="115" t="s">
        <v>1425</v>
      </c>
      <c r="C139" s="118" t="s">
        <v>1424</v>
      </c>
    </row>
    <row r="140" spans="1:3" ht="18" customHeight="1" x14ac:dyDescent="0.25">
      <c r="A140" s="115" t="s">
        <v>459</v>
      </c>
      <c r="B140" s="115" t="s">
        <v>1427</v>
      </c>
      <c r="C140" s="118" t="s">
        <v>1426</v>
      </c>
    </row>
    <row r="141" spans="1:3" ht="18" customHeight="1" x14ac:dyDescent="0.25">
      <c r="A141" s="115" t="s">
        <v>459</v>
      </c>
      <c r="B141" s="115" t="s">
        <v>1429</v>
      </c>
      <c r="C141" s="118" t="s">
        <v>1428</v>
      </c>
    </row>
    <row r="142" spans="1:3" ht="18" customHeight="1" x14ac:dyDescent="0.25">
      <c r="A142" s="115" t="s">
        <v>459</v>
      </c>
      <c r="B142" s="115" t="s">
        <v>1430</v>
      </c>
      <c r="C142" s="118" t="s">
        <v>1809</v>
      </c>
    </row>
    <row r="143" spans="1:3" ht="18" customHeight="1" x14ac:dyDescent="0.25">
      <c r="A143" s="115" t="s">
        <v>459</v>
      </c>
      <c r="B143" s="115" t="s">
        <v>1432</v>
      </c>
      <c r="C143" s="118" t="s">
        <v>1431</v>
      </c>
    </row>
    <row r="144" spans="1:3" ht="18" customHeight="1" x14ac:dyDescent="0.25">
      <c r="A144" s="115" t="s">
        <v>459</v>
      </c>
      <c r="B144" s="115" t="s">
        <v>1434</v>
      </c>
      <c r="C144" s="118" t="s">
        <v>1433</v>
      </c>
    </row>
    <row r="145" spans="1:3" ht="18" customHeight="1" x14ac:dyDescent="0.25">
      <c r="A145" s="115" t="s">
        <v>459</v>
      </c>
      <c r="B145" s="115" t="s">
        <v>1671</v>
      </c>
      <c r="C145" s="115" t="s">
        <v>1670</v>
      </c>
    </row>
    <row r="146" spans="1:3" ht="18" customHeight="1" x14ac:dyDescent="0.25">
      <c r="A146" s="115" t="s">
        <v>459</v>
      </c>
      <c r="B146" s="115" t="s">
        <v>1673</v>
      </c>
      <c r="C146" s="118" t="s">
        <v>1672</v>
      </c>
    </row>
    <row r="147" spans="1:3" ht="18" customHeight="1" x14ac:dyDescent="0.25">
      <c r="A147" s="115" t="s">
        <v>459</v>
      </c>
      <c r="B147" s="115" t="s">
        <v>1675</v>
      </c>
      <c r="C147" s="118" t="s">
        <v>1674</v>
      </c>
    </row>
    <row r="148" spans="1:3" ht="18" customHeight="1" x14ac:dyDescent="0.25">
      <c r="A148" s="115" t="s">
        <v>459</v>
      </c>
      <c r="B148" s="115" t="s">
        <v>1677</v>
      </c>
      <c r="C148" s="118" t="s">
        <v>1676</v>
      </c>
    </row>
    <row r="149" spans="1:3" ht="18" customHeight="1" x14ac:dyDescent="0.25">
      <c r="A149" s="115" t="s">
        <v>459</v>
      </c>
      <c r="B149" s="115" t="s">
        <v>1679</v>
      </c>
      <c r="C149" s="118" t="s">
        <v>1678</v>
      </c>
    </row>
    <row r="150" spans="1:3" ht="18" customHeight="1" x14ac:dyDescent="0.25">
      <c r="A150" s="115" t="s">
        <v>459</v>
      </c>
      <c r="B150" s="115" t="s">
        <v>1681</v>
      </c>
      <c r="C150" s="118" t="s">
        <v>1680</v>
      </c>
    </row>
    <row r="151" spans="1:3" ht="18" customHeight="1" x14ac:dyDescent="0.25">
      <c r="A151" s="115" t="s">
        <v>459</v>
      </c>
      <c r="B151" s="115" t="s">
        <v>1682</v>
      </c>
      <c r="C151" s="118" t="s">
        <v>1810</v>
      </c>
    </row>
    <row r="152" spans="1:3" ht="18" customHeight="1" x14ac:dyDescent="0.25">
      <c r="A152" s="115" t="s">
        <v>459</v>
      </c>
      <c r="B152" s="115" t="s">
        <v>1684</v>
      </c>
      <c r="C152" s="118" t="s">
        <v>1683</v>
      </c>
    </row>
    <row r="153" spans="1:3" ht="18" customHeight="1" x14ac:dyDescent="0.25">
      <c r="A153" s="115" t="s">
        <v>459</v>
      </c>
      <c r="B153" s="115" t="s">
        <v>1686</v>
      </c>
      <c r="C153" s="118" t="s">
        <v>1685</v>
      </c>
    </row>
    <row r="154" spans="1:3" ht="18" customHeight="1" x14ac:dyDescent="0.25">
      <c r="A154" s="115" t="s">
        <v>459</v>
      </c>
      <c r="B154" s="115" t="s">
        <v>1688</v>
      </c>
      <c r="C154" s="118" t="s">
        <v>1687</v>
      </c>
    </row>
    <row r="155" spans="1:3" ht="18" customHeight="1" x14ac:dyDescent="0.25">
      <c r="A155" s="115" t="s">
        <v>459</v>
      </c>
      <c r="B155" s="115" t="s">
        <v>1690</v>
      </c>
      <c r="C155" s="118" t="s">
        <v>1689</v>
      </c>
    </row>
    <row r="156" spans="1:3" ht="18" customHeight="1" x14ac:dyDescent="0.25">
      <c r="A156" s="115" t="s">
        <v>459</v>
      </c>
      <c r="B156" s="115" t="s">
        <v>1692</v>
      </c>
      <c r="C156" s="118" t="s">
        <v>1691</v>
      </c>
    </row>
    <row r="157" spans="1:3" ht="18" customHeight="1" x14ac:dyDescent="0.25">
      <c r="A157" s="115" t="s">
        <v>459</v>
      </c>
      <c r="B157" s="115" t="s">
        <v>1693</v>
      </c>
      <c r="C157" s="118" t="s">
        <v>1811</v>
      </c>
    </row>
    <row r="158" spans="1:3" ht="18" customHeight="1" x14ac:dyDescent="0.25">
      <c r="A158" s="115" t="s">
        <v>459</v>
      </c>
      <c r="B158" s="115" t="s">
        <v>1695</v>
      </c>
      <c r="C158" s="118" t="s">
        <v>1694</v>
      </c>
    </row>
    <row r="159" spans="1:3" ht="18" customHeight="1" x14ac:dyDescent="0.25">
      <c r="A159" s="115" t="s">
        <v>459</v>
      </c>
      <c r="B159" s="115" t="s">
        <v>1697</v>
      </c>
      <c r="C159" s="118" t="s">
        <v>1696</v>
      </c>
    </row>
    <row r="160" spans="1:3" ht="18" customHeight="1" x14ac:dyDescent="0.25">
      <c r="A160" s="115" t="s">
        <v>459</v>
      </c>
      <c r="B160" s="115" t="s">
        <v>1699</v>
      </c>
      <c r="C160" s="118" t="s">
        <v>1698</v>
      </c>
    </row>
    <row r="161" spans="1:3" ht="18" customHeight="1" x14ac:dyDescent="0.25">
      <c r="A161" s="115" t="s">
        <v>459</v>
      </c>
      <c r="B161" s="115" t="s">
        <v>1701</v>
      </c>
      <c r="C161" s="118" t="s">
        <v>1700</v>
      </c>
    </row>
    <row r="162" spans="1:3" ht="18" customHeight="1" x14ac:dyDescent="0.25">
      <c r="A162" s="115" t="s">
        <v>459</v>
      </c>
      <c r="B162" s="115" t="s">
        <v>1703</v>
      </c>
      <c r="C162" s="118" t="s">
        <v>1702</v>
      </c>
    </row>
    <row r="163" spans="1:3" ht="18" customHeight="1" x14ac:dyDescent="0.25">
      <c r="A163" s="115" t="s">
        <v>459</v>
      </c>
      <c r="B163" s="115" t="s">
        <v>1705</v>
      </c>
      <c r="C163" s="118" t="s">
        <v>1704</v>
      </c>
    </row>
    <row r="164" spans="1:3" ht="18" customHeight="1" x14ac:dyDescent="0.25">
      <c r="A164" s="115" t="s">
        <v>544</v>
      </c>
      <c r="B164" s="115" t="s">
        <v>993</v>
      </c>
      <c r="C164" s="118" t="s">
        <v>1812</v>
      </c>
    </row>
    <row r="165" spans="1:3" ht="18" customHeight="1" x14ac:dyDescent="0.25">
      <c r="A165" s="115" t="s">
        <v>544</v>
      </c>
      <c r="B165" s="115" t="s">
        <v>995</v>
      </c>
      <c r="C165" s="118" t="s">
        <v>994</v>
      </c>
    </row>
    <row r="166" spans="1:3" ht="18" customHeight="1" x14ac:dyDescent="0.25">
      <c r="A166" s="115" t="s">
        <v>544</v>
      </c>
      <c r="B166" s="115" t="s">
        <v>997</v>
      </c>
      <c r="C166" s="118" t="s">
        <v>996</v>
      </c>
    </row>
    <row r="167" spans="1:3" ht="18" customHeight="1" x14ac:dyDescent="0.25">
      <c r="A167" s="115" t="s">
        <v>544</v>
      </c>
      <c r="B167" s="115" t="s">
        <v>999</v>
      </c>
      <c r="C167" s="118" t="s">
        <v>998</v>
      </c>
    </row>
    <row r="168" spans="1:3" ht="18" customHeight="1" x14ac:dyDescent="0.25">
      <c r="A168" s="115" t="s">
        <v>544</v>
      </c>
      <c r="B168" s="115" t="s">
        <v>1001</v>
      </c>
      <c r="C168" s="118" t="s">
        <v>1000</v>
      </c>
    </row>
    <row r="169" spans="1:3" ht="18" customHeight="1" x14ac:dyDescent="0.25">
      <c r="A169" s="115" t="s">
        <v>433</v>
      </c>
      <c r="B169" s="115" t="s">
        <v>1052</v>
      </c>
      <c r="C169" s="118" t="s">
        <v>1051</v>
      </c>
    </row>
    <row r="170" spans="1:3" ht="18" customHeight="1" x14ac:dyDescent="0.25">
      <c r="A170" s="115" t="s">
        <v>433</v>
      </c>
      <c r="B170" s="115" t="s">
        <v>1086</v>
      </c>
      <c r="C170" s="118" t="s">
        <v>1085</v>
      </c>
    </row>
    <row r="171" spans="1:3" ht="18" customHeight="1" x14ac:dyDescent="0.25">
      <c r="A171" s="115" t="s">
        <v>433</v>
      </c>
      <c r="B171" s="115" t="s">
        <v>1088</v>
      </c>
      <c r="C171" s="118" t="s">
        <v>1087</v>
      </c>
    </row>
    <row r="172" spans="1:3" ht="18" customHeight="1" x14ac:dyDescent="0.25">
      <c r="A172" s="115" t="s">
        <v>433</v>
      </c>
      <c r="B172" s="115" t="s">
        <v>1104</v>
      </c>
      <c r="C172" s="118" t="s">
        <v>1103</v>
      </c>
    </row>
    <row r="173" spans="1:3" ht="18" customHeight="1" x14ac:dyDescent="0.25">
      <c r="A173" s="115" t="s">
        <v>433</v>
      </c>
      <c r="B173" s="115" t="s">
        <v>1174</v>
      </c>
      <c r="C173" s="118" t="s">
        <v>1173</v>
      </c>
    </row>
    <row r="174" spans="1:3" ht="18" customHeight="1" x14ac:dyDescent="0.25">
      <c r="A174" s="115" t="s">
        <v>433</v>
      </c>
      <c r="B174" s="115" t="s">
        <v>1176</v>
      </c>
      <c r="C174" s="115" t="s">
        <v>1175</v>
      </c>
    </row>
    <row r="175" spans="1:3" ht="18" customHeight="1" x14ac:dyDescent="0.25">
      <c r="A175" s="115" t="s">
        <v>433</v>
      </c>
      <c r="B175" s="115" t="s">
        <v>1178</v>
      </c>
      <c r="C175" s="118" t="s">
        <v>1177</v>
      </c>
    </row>
    <row r="176" spans="1:3" ht="18" customHeight="1" x14ac:dyDescent="0.25">
      <c r="A176" s="115" t="s">
        <v>433</v>
      </c>
      <c r="B176" s="115" t="s">
        <v>1180</v>
      </c>
      <c r="C176" s="118" t="s">
        <v>1179</v>
      </c>
    </row>
    <row r="177" spans="1:3" ht="18" customHeight="1" x14ac:dyDescent="0.25">
      <c r="A177" s="115" t="s">
        <v>433</v>
      </c>
      <c r="B177" s="115" t="s">
        <v>1182</v>
      </c>
      <c r="C177" s="118" t="s">
        <v>1181</v>
      </c>
    </row>
    <row r="178" spans="1:3" ht="18" customHeight="1" x14ac:dyDescent="0.25">
      <c r="A178" s="115" t="s">
        <v>433</v>
      </c>
      <c r="B178" s="115" t="s">
        <v>1184</v>
      </c>
      <c r="C178" s="118" t="s">
        <v>1183</v>
      </c>
    </row>
    <row r="179" spans="1:3" ht="18" customHeight="1" x14ac:dyDescent="0.25">
      <c r="A179" s="115" t="s">
        <v>433</v>
      </c>
      <c r="B179" s="115" t="s">
        <v>1186</v>
      </c>
      <c r="C179" s="115" t="s">
        <v>1185</v>
      </c>
    </row>
    <row r="180" spans="1:3" ht="18" customHeight="1" x14ac:dyDescent="0.25">
      <c r="A180" s="115" t="s">
        <v>433</v>
      </c>
      <c r="B180" s="115" t="s">
        <v>1188</v>
      </c>
      <c r="C180" s="118" t="s">
        <v>1187</v>
      </c>
    </row>
    <row r="181" spans="1:3" ht="18" customHeight="1" x14ac:dyDescent="0.25">
      <c r="A181" s="115" t="s">
        <v>433</v>
      </c>
      <c r="B181" s="115" t="s">
        <v>1194</v>
      </c>
      <c r="C181" s="118" t="s">
        <v>1193</v>
      </c>
    </row>
    <row r="182" spans="1:3" ht="18" customHeight="1" x14ac:dyDescent="0.25">
      <c r="A182" s="115" t="s">
        <v>433</v>
      </c>
      <c r="B182" s="115" t="s">
        <v>1196</v>
      </c>
      <c r="C182" s="118" t="s">
        <v>1195</v>
      </c>
    </row>
    <row r="183" spans="1:3" ht="18" customHeight="1" x14ac:dyDescent="0.25">
      <c r="A183" s="115" t="s">
        <v>433</v>
      </c>
      <c r="B183" s="115" t="s">
        <v>1259</v>
      </c>
      <c r="C183" s="115" t="s">
        <v>1258</v>
      </c>
    </row>
    <row r="184" spans="1:3" ht="18" customHeight="1" x14ac:dyDescent="0.25">
      <c r="A184" s="115" t="s">
        <v>433</v>
      </c>
      <c r="B184" s="115" t="s">
        <v>1261</v>
      </c>
      <c r="C184" s="118" t="s">
        <v>1260</v>
      </c>
    </row>
    <row r="185" spans="1:3" ht="18" customHeight="1" x14ac:dyDescent="0.25">
      <c r="A185" s="115" t="s">
        <v>433</v>
      </c>
      <c r="B185" s="115" t="s">
        <v>1340</v>
      </c>
      <c r="C185" s="118" t="s">
        <v>1339</v>
      </c>
    </row>
    <row r="186" spans="1:3" ht="18" customHeight="1" x14ac:dyDescent="0.25">
      <c r="A186" s="115" t="s">
        <v>433</v>
      </c>
      <c r="B186" s="115" t="s">
        <v>1711</v>
      </c>
      <c r="C186" s="118" t="s">
        <v>1710</v>
      </c>
    </row>
    <row r="187" spans="1:3" ht="18" customHeight="1" x14ac:dyDescent="0.25">
      <c r="A187" s="115" t="s">
        <v>546</v>
      </c>
      <c r="B187" s="115" t="s">
        <v>1622</v>
      </c>
      <c r="C187" s="115" t="s">
        <v>1621</v>
      </c>
    </row>
    <row r="188" spans="1:3" ht="18" customHeight="1" x14ac:dyDescent="0.25">
      <c r="A188" s="115" t="s">
        <v>546</v>
      </c>
      <c r="B188" s="115" t="s">
        <v>1623</v>
      </c>
      <c r="C188" s="118" t="s">
        <v>1813</v>
      </c>
    </row>
    <row r="189" spans="1:3" ht="18" customHeight="1" x14ac:dyDescent="0.25">
      <c r="A189" s="115" t="s">
        <v>546</v>
      </c>
      <c r="B189" s="115" t="s">
        <v>1625</v>
      </c>
      <c r="C189" s="118" t="s">
        <v>1624</v>
      </c>
    </row>
    <row r="190" spans="1:3" ht="18" customHeight="1" x14ac:dyDescent="0.25">
      <c r="A190" s="115" t="s">
        <v>546</v>
      </c>
      <c r="B190" s="115" t="s">
        <v>1627</v>
      </c>
      <c r="C190" s="118" t="s">
        <v>1626</v>
      </c>
    </row>
    <row r="191" spans="1:3" ht="18" customHeight="1" x14ac:dyDescent="0.25">
      <c r="A191" s="115" t="s">
        <v>546</v>
      </c>
      <c r="B191" s="115" t="s">
        <v>1629</v>
      </c>
      <c r="C191" s="118" t="s">
        <v>1628</v>
      </c>
    </row>
    <row r="192" spans="1:3" ht="18" customHeight="1" x14ac:dyDescent="0.25">
      <c r="A192" s="115" t="s">
        <v>546</v>
      </c>
      <c r="B192" s="115" t="s">
        <v>1631</v>
      </c>
      <c r="C192" s="118" t="s">
        <v>1630</v>
      </c>
    </row>
    <row r="193" spans="1:3" ht="18" customHeight="1" x14ac:dyDescent="0.25">
      <c r="A193" s="115" t="s">
        <v>546</v>
      </c>
      <c r="B193" s="115" t="s">
        <v>1633</v>
      </c>
      <c r="C193" s="118" t="s">
        <v>1632</v>
      </c>
    </row>
    <row r="194" spans="1:3" ht="18" customHeight="1" x14ac:dyDescent="0.25">
      <c r="A194" s="115" t="s">
        <v>546</v>
      </c>
      <c r="B194" s="115" t="s">
        <v>1635</v>
      </c>
      <c r="C194" s="118" t="s">
        <v>1634</v>
      </c>
    </row>
    <row r="195" spans="1:3" ht="18" customHeight="1" x14ac:dyDescent="0.25">
      <c r="A195" s="115" t="s">
        <v>447</v>
      </c>
      <c r="B195" s="115" t="s">
        <v>752</v>
      </c>
      <c r="C195" s="118" t="s">
        <v>751</v>
      </c>
    </row>
    <row r="196" spans="1:3" ht="18" customHeight="1" x14ac:dyDescent="0.25">
      <c r="A196" s="115" t="s">
        <v>447</v>
      </c>
      <c r="B196" s="115" t="s">
        <v>762</v>
      </c>
      <c r="C196" s="118" t="s">
        <v>761</v>
      </c>
    </row>
    <row r="197" spans="1:3" ht="18" customHeight="1" x14ac:dyDescent="0.25">
      <c r="A197" s="115" t="s">
        <v>447</v>
      </c>
      <c r="B197" s="115" t="s">
        <v>764</v>
      </c>
      <c r="C197" s="118" t="s">
        <v>763</v>
      </c>
    </row>
    <row r="198" spans="1:3" ht="18" customHeight="1" x14ac:dyDescent="0.25">
      <c r="A198" s="115" t="s">
        <v>447</v>
      </c>
      <c r="B198" s="115" t="s">
        <v>765</v>
      </c>
      <c r="C198" s="118" t="s">
        <v>1814</v>
      </c>
    </row>
    <row r="199" spans="1:3" ht="18" customHeight="1" x14ac:dyDescent="0.25">
      <c r="A199" s="115" t="s">
        <v>447</v>
      </c>
      <c r="B199" s="115" t="s">
        <v>767</v>
      </c>
      <c r="C199" s="118" t="s">
        <v>766</v>
      </c>
    </row>
    <row r="200" spans="1:3" ht="18" customHeight="1" x14ac:dyDescent="0.25">
      <c r="A200" s="115" t="s">
        <v>447</v>
      </c>
      <c r="B200" s="115" t="s">
        <v>769</v>
      </c>
      <c r="C200" s="118" t="s">
        <v>768</v>
      </c>
    </row>
    <row r="201" spans="1:3" ht="18" customHeight="1" x14ac:dyDescent="0.25">
      <c r="A201" s="115" t="s">
        <v>447</v>
      </c>
      <c r="B201" s="115" t="s">
        <v>771</v>
      </c>
      <c r="C201" s="118" t="s">
        <v>770</v>
      </c>
    </row>
    <row r="202" spans="1:3" ht="18" customHeight="1" x14ac:dyDescent="0.25">
      <c r="A202" s="115" t="s">
        <v>447</v>
      </c>
      <c r="B202" s="115" t="s">
        <v>777</v>
      </c>
      <c r="C202" s="118" t="s">
        <v>776</v>
      </c>
    </row>
    <row r="203" spans="1:3" ht="18" customHeight="1" x14ac:dyDescent="0.25">
      <c r="A203" s="115" t="s">
        <v>447</v>
      </c>
      <c r="B203" s="115" t="s">
        <v>780</v>
      </c>
      <c r="C203" s="118" t="s">
        <v>1815</v>
      </c>
    </row>
    <row r="204" spans="1:3" ht="18" customHeight="1" x14ac:dyDescent="0.25">
      <c r="A204" s="115" t="s">
        <v>447</v>
      </c>
      <c r="B204" s="115" t="s">
        <v>782</v>
      </c>
      <c r="C204" s="118" t="s">
        <v>781</v>
      </c>
    </row>
    <row r="205" spans="1:3" ht="18" customHeight="1" x14ac:dyDescent="0.25">
      <c r="A205" s="115" t="s">
        <v>447</v>
      </c>
      <c r="B205" s="115" t="s">
        <v>784</v>
      </c>
      <c r="C205" s="118" t="s">
        <v>783</v>
      </c>
    </row>
    <row r="206" spans="1:3" ht="18" customHeight="1" x14ac:dyDescent="0.25">
      <c r="A206" s="115" t="s">
        <v>447</v>
      </c>
      <c r="B206" s="115" t="s">
        <v>829</v>
      </c>
      <c r="C206" s="118" t="s">
        <v>828</v>
      </c>
    </row>
    <row r="207" spans="1:3" ht="18" customHeight="1" x14ac:dyDescent="0.25">
      <c r="A207" s="115" t="s">
        <v>447</v>
      </c>
      <c r="B207" s="115" t="s">
        <v>833</v>
      </c>
      <c r="C207" s="118" t="s">
        <v>832</v>
      </c>
    </row>
    <row r="208" spans="1:3" ht="18" customHeight="1" x14ac:dyDescent="0.25">
      <c r="A208" s="115" t="s">
        <v>447</v>
      </c>
      <c r="B208" s="115" t="s">
        <v>835</v>
      </c>
      <c r="C208" s="118" t="s">
        <v>834</v>
      </c>
    </row>
    <row r="209" spans="1:3" ht="18" customHeight="1" x14ac:dyDescent="0.25">
      <c r="A209" s="115" t="s">
        <v>424</v>
      </c>
      <c r="B209" s="115" t="s">
        <v>1589</v>
      </c>
      <c r="C209" s="118" t="s">
        <v>1588</v>
      </c>
    </row>
    <row r="210" spans="1:3" ht="18" customHeight="1" x14ac:dyDescent="0.25">
      <c r="A210" s="115" t="s">
        <v>450</v>
      </c>
      <c r="B210" s="115" t="s">
        <v>1155</v>
      </c>
      <c r="C210" s="115" t="s">
        <v>1154</v>
      </c>
    </row>
    <row r="211" spans="1:3" ht="18" customHeight="1" x14ac:dyDescent="0.25">
      <c r="A211" s="115" t="s">
        <v>450</v>
      </c>
      <c r="B211" s="115" t="s">
        <v>1156</v>
      </c>
      <c r="C211" s="118" t="s">
        <v>1816</v>
      </c>
    </row>
    <row r="212" spans="1:3" ht="18" customHeight="1" x14ac:dyDescent="0.25">
      <c r="A212" s="115" t="s">
        <v>450</v>
      </c>
      <c r="B212" s="115" t="s">
        <v>1158</v>
      </c>
      <c r="C212" s="118" t="s">
        <v>1157</v>
      </c>
    </row>
    <row r="213" spans="1:3" ht="18" customHeight="1" x14ac:dyDescent="0.25">
      <c r="A213" s="115" t="s">
        <v>450</v>
      </c>
      <c r="B213" s="115" t="s">
        <v>1160</v>
      </c>
      <c r="C213" s="118" t="s">
        <v>1159</v>
      </c>
    </row>
    <row r="214" spans="1:3" ht="18" customHeight="1" x14ac:dyDescent="0.25">
      <c r="A214" s="115" t="s">
        <v>450</v>
      </c>
      <c r="B214" s="115" t="s">
        <v>1162</v>
      </c>
      <c r="C214" s="118" t="s">
        <v>1161</v>
      </c>
    </row>
    <row r="215" spans="1:3" ht="18" customHeight="1" x14ac:dyDescent="0.25">
      <c r="A215" s="115" t="s">
        <v>450</v>
      </c>
      <c r="B215" s="115" t="s">
        <v>1164</v>
      </c>
      <c r="C215" s="118" t="s">
        <v>1163</v>
      </c>
    </row>
    <row r="216" spans="1:3" ht="18" customHeight="1" x14ac:dyDescent="0.25">
      <c r="A216" s="115" t="s">
        <v>450</v>
      </c>
      <c r="B216" s="115" t="s">
        <v>1166</v>
      </c>
      <c r="C216" s="118" t="s">
        <v>1165</v>
      </c>
    </row>
    <row r="217" spans="1:3" ht="18" customHeight="1" x14ac:dyDescent="0.25">
      <c r="A217" s="115" t="s">
        <v>450</v>
      </c>
      <c r="B217" s="115" t="s">
        <v>1168</v>
      </c>
      <c r="C217" s="118" t="s">
        <v>1167</v>
      </c>
    </row>
    <row r="218" spans="1:3" ht="18" customHeight="1" x14ac:dyDescent="0.25">
      <c r="A218" s="115" t="s">
        <v>450</v>
      </c>
      <c r="B218" s="115" t="s">
        <v>1170</v>
      </c>
      <c r="C218" s="118" t="s">
        <v>1169</v>
      </c>
    </row>
    <row r="219" spans="1:3" ht="18" customHeight="1" x14ac:dyDescent="0.25">
      <c r="A219" s="115" t="s">
        <v>450</v>
      </c>
      <c r="B219" s="115" t="s">
        <v>1172</v>
      </c>
      <c r="C219" s="118" t="s">
        <v>1171</v>
      </c>
    </row>
    <row r="220" spans="1:3" ht="18" customHeight="1" x14ac:dyDescent="0.25">
      <c r="A220" s="115" t="s">
        <v>450</v>
      </c>
      <c r="B220" s="115" t="s">
        <v>1190</v>
      </c>
      <c r="C220" s="115" t="s">
        <v>1189</v>
      </c>
    </row>
    <row r="221" spans="1:3" ht="18" customHeight="1" x14ac:dyDescent="0.25">
      <c r="A221" s="115" t="s">
        <v>450</v>
      </c>
      <c r="B221" s="115" t="s">
        <v>1198</v>
      </c>
      <c r="C221" s="118" t="s">
        <v>1197</v>
      </c>
    </row>
    <row r="222" spans="1:3" ht="18" customHeight="1" x14ac:dyDescent="0.25">
      <c r="A222" s="115" t="s">
        <v>450</v>
      </c>
      <c r="B222" s="115" t="s">
        <v>1200</v>
      </c>
      <c r="C222" s="118" t="s">
        <v>1199</v>
      </c>
    </row>
    <row r="223" spans="1:3" ht="18" customHeight="1" x14ac:dyDescent="0.25">
      <c r="A223" s="115" t="s">
        <v>450</v>
      </c>
      <c r="B223" s="115" t="s">
        <v>1202</v>
      </c>
      <c r="C223" s="118" t="s">
        <v>1201</v>
      </c>
    </row>
    <row r="224" spans="1:3" ht="18" customHeight="1" x14ac:dyDescent="0.25">
      <c r="A224" s="115" t="s">
        <v>450</v>
      </c>
      <c r="B224" s="115" t="s">
        <v>1204</v>
      </c>
      <c r="C224" s="118" t="s">
        <v>1203</v>
      </c>
    </row>
    <row r="225" spans="1:3" ht="18" customHeight="1" x14ac:dyDescent="0.25">
      <c r="A225" s="115" t="s">
        <v>450</v>
      </c>
      <c r="B225" s="115" t="s">
        <v>1206</v>
      </c>
      <c r="C225" s="118" t="s">
        <v>1205</v>
      </c>
    </row>
    <row r="226" spans="1:3" ht="18" customHeight="1" x14ac:dyDescent="0.25">
      <c r="A226" s="115" t="s">
        <v>450</v>
      </c>
      <c r="B226" s="115" t="s">
        <v>1208</v>
      </c>
      <c r="C226" s="118" t="s">
        <v>1207</v>
      </c>
    </row>
    <row r="227" spans="1:3" ht="18" customHeight="1" x14ac:dyDescent="0.25">
      <c r="A227" s="115" t="s">
        <v>450</v>
      </c>
      <c r="B227" s="115" t="s">
        <v>1319</v>
      </c>
      <c r="C227" s="118" t="s">
        <v>1318</v>
      </c>
    </row>
    <row r="228" spans="1:3" ht="18" customHeight="1" x14ac:dyDescent="0.25">
      <c r="A228" s="115" t="s">
        <v>450</v>
      </c>
      <c r="B228" s="115" t="s">
        <v>1321</v>
      </c>
      <c r="C228" s="118" t="s">
        <v>1320</v>
      </c>
    </row>
    <row r="229" spans="1:3" ht="18" customHeight="1" x14ac:dyDescent="0.25">
      <c r="A229" s="115" t="s">
        <v>450</v>
      </c>
      <c r="B229" s="115" t="s">
        <v>1324</v>
      </c>
      <c r="C229" s="118" t="s">
        <v>1817</v>
      </c>
    </row>
    <row r="230" spans="1:3" ht="18" customHeight="1" x14ac:dyDescent="0.25">
      <c r="A230" s="115" t="s">
        <v>450</v>
      </c>
      <c r="B230" s="115" t="s">
        <v>1326</v>
      </c>
      <c r="C230" s="118" t="s">
        <v>1325</v>
      </c>
    </row>
    <row r="231" spans="1:3" ht="18" customHeight="1" x14ac:dyDescent="0.25">
      <c r="A231" s="115" t="s">
        <v>450</v>
      </c>
      <c r="B231" s="115" t="s">
        <v>1328</v>
      </c>
      <c r="C231" s="118" t="s">
        <v>1327</v>
      </c>
    </row>
    <row r="232" spans="1:3" ht="18" customHeight="1" x14ac:dyDescent="0.25">
      <c r="A232" s="115" t="s">
        <v>450</v>
      </c>
      <c r="B232" s="115" t="s">
        <v>1330</v>
      </c>
      <c r="C232" s="118" t="s">
        <v>1329</v>
      </c>
    </row>
    <row r="233" spans="1:3" ht="18" customHeight="1" x14ac:dyDescent="0.25">
      <c r="A233" s="115" t="s">
        <v>450</v>
      </c>
      <c r="B233" s="115" t="s">
        <v>1332</v>
      </c>
      <c r="C233" s="118" t="s">
        <v>1331</v>
      </c>
    </row>
    <row r="234" spans="1:3" ht="18" customHeight="1" x14ac:dyDescent="0.25">
      <c r="A234" s="115" t="s">
        <v>450</v>
      </c>
      <c r="B234" s="115" t="s">
        <v>1342</v>
      </c>
      <c r="C234" s="118" t="s">
        <v>1341</v>
      </c>
    </row>
    <row r="235" spans="1:3" ht="18" customHeight="1" x14ac:dyDescent="0.25">
      <c r="A235" s="115" t="s">
        <v>450</v>
      </c>
      <c r="B235" s="115" t="s">
        <v>1344</v>
      </c>
      <c r="C235" s="118" t="s">
        <v>1343</v>
      </c>
    </row>
    <row r="236" spans="1:3" ht="18" customHeight="1" x14ac:dyDescent="0.25">
      <c r="A236" s="115" t="s">
        <v>450</v>
      </c>
      <c r="B236" s="115" t="s">
        <v>1346</v>
      </c>
      <c r="C236" s="118" t="s">
        <v>1345</v>
      </c>
    </row>
    <row r="237" spans="1:3" ht="18" customHeight="1" x14ac:dyDescent="0.25">
      <c r="A237" s="115" t="s">
        <v>450</v>
      </c>
      <c r="B237" s="115" t="s">
        <v>1348</v>
      </c>
      <c r="C237" s="118" t="s">
        <v>1347</v>
      </c>
    </row>
    <row r="238" spans="1:3" ht="18" customHeight="1" x14ac:dyDescent="0.25">
      <c r="A238" s="115" t="s">
        <v>450</v>
      </c>
      <c r="B238" s="115" t="s">
        <v>1350</v>
      </c>
      <c r="C238" s="118" t="s">
        <v>1349</v>
      </c>
    </row>
    <row r="239" spans="1:3" ht="18" customHeight="1" x14ac:dyDescent="0.25">
      <c r="A239" s="115" t="s">
        <v>450</v>
      </c>
      <c r="B239" s="115" t="s">
        <v>1352</v>
      </c>
      <c r="C239" s="118" t="s">
        <v>1351</v>
      </c>
    </row>
    <row r="240" spans="1:3" ht="18" customHeight="1" x14ac:dyDescent="0.25">
      <c r="A240" s="115" t="s">
        <v>450</v>
      </c>
      <c r="B240" s="115" t="s">
        <v>1358</v>
      </c>
      <c r="C240" s="118" t="s">
        <v>1357</v>
      </c>
    </row>
    <row r="241" spans="1:3" ht="18" customHeight="1" x14ac:dyDescent="0.25">
      <c r="A241" s="115" t="s">
        <v>450</v>
      </c>
      <c r="B241" s="115" t="s">
        <v>1360</v>
      </c>
      <c r="C241" s="115" t="s">
        <v>1359</v>
      </c>
    </row>
    <row r="242" spans="1:3" ht="18" customHeight="1" x14ac:dyDescent="0.25">
      <c r="A242" s="115" t="s">
        <v>450</v>
      </c>
      <c r="B242" s="115" t="s">
        <v>1362</v>
      </c>
      <c r="C242" s="118" t="s">
        <v>1361</v>
      </c>
    </row>
    <row r="243" spans="1:3" ht="18" customHeight="1" x14ac:dyDescent="0.25">
      <c r="A243" s="115" t="s">
        <v>450</v>
      </c>
      <c r="B243" s="115" t="s">
        <v>1468</v>
      </c>
      <c r="C243" s="115" t="s">
        <v>1467</v>
      </c>
    </row>
    <row r="244" spans="1:3" ht="18" customHeight="1" x14ac:dyDescent="0.25">
      <c r="A244" s="115" t="s">
        <v>450</v>
      </c>
      <c r="B244" s="115" t="s">
        <v>1470</v>
      </c>
      <c r="C244" s="118" t="s">
        <v>1469</v>
      </c>
    </row>
    <row r="245" spans="1:3" ht="18" customHeight="1" x14ac:dyDescent="0.25">
      <c r="A245" s="115" t="s">
        <v>450</v>
      </c>
      <c r="B245" s="115" t="s">
        <v>1472</v>
      </c>
      <c r="C245" s="118" t="s">
        <v>1471</v>
      </c>
    </row>
    <row r="246" spans="1:3" ht="18" customHeight="1" x14ac:dyDescent="0.25">
      <c r="A246" s="115" t="s">
        <v>450</v>
      </c>
      <c r="B246" s="115" t="s">
        <v>1474</v>
      </c>
      <c r="C246" s="118" t="s">
        <v>1473</v>
      </c>
    </row>
    <row r="247" spans="1:3" ht="18" customHeight="1" x14ac:dyDescent="0.25">
      <c r="A247" s="115" t="s">
        <v>450</v>
      </c>
      <c r="B247" s="115" t="s">
        <v>1476</v>
      </c>
      <c r="C247" s="118" t="s">
        <v>1475</v>
      </c>
    </row>
    <row r="248" spans="1:3" ht="18" customHeight="1" x14ac:dyDescent="0.25">
      <c r="A248" s="115" t="s">
        <v>450</v>
      </c>
      <c r="B248" s="115" t="s">
        <v>1478</v>
      </c>
      <c r="C248" s="118" t="s">
        <v>1477</v>
      </c>
    </row>
    <row r="249" spans="1:3" ht="18" customHeight="1" x14ac:dyDescent="0.25">
      <c r="A249" s="115" t="s">
        <v>450</v>
      </c>
      <c r="B249" s="115" t="s">
        <v>1480</v>
      </c>
      <c r="C249" s="118" t="s">
        <v>1479</v>
      </c>
    </row>
    <row r="250" spans="1:3" ht="18" customHeight="1" x14ac:dyDescent="0.25">
      <c r="A250" s="115" t="s">
        <v>450</v>
      </c>
      <c r="B250" s="115" t="s">
        <v>1482</v>
      </c>
      <c r="C250" s="118" t="s">
        <v>1481</v>
      </c>
    </row>
    <row r="251" spans="1:3" ht="18" customHeight="1" x14ac:dyDescent="0.25">
      <c r="A251" s="115" t="s">
        <v>450</v>
      </c>
      <c r="B251" s="115" t="s">
        <v>1484</v>
      </c>
      <c r="C251" s="118" t="s">
        <v>1483</v>
      </c>
    </row>
    <row r="252" spans="1:3" ht="18" customHeight="1" x14ac:dyDescent="0.25">
      <c r="A252" s="115" t="s">
        <v>450</v>
      </c>
      <c r="B252" s="115" t="s">
        <v>1486</v>
      </c>
      <c r="C252" s="118" t="s">
        <v>1485</v>
      </c>
    </row>
    <row r="253" spans="1:3" ht="18" customHeight="1" x14ac:dyDescent="0.25">
      <c r="A253" s="115" t="s">
        <v>450</v>
      </c>
      <c r="B253" s="115" t="s">
        <v>1488</v>
      </c>
      <c r="C253" s="115" t="s">
        <v>1487</v>
      </c>
    </row>
    <row r="254" spans="1:3" ht="18" customHeight="1" x14ac:dyDescent="0.25">
      <c r="A254" s="115" t="s">
        <v>450</v>
      </c>
      <c r="B254" s="115" t="s">
        <v>1489</v>
      </c>
      <c r="C254" s="118" t="s">
        <v>1818</v>
      </c>
    </row>
    <row r="255" spans="1:3" ht="18" customHeight="1" x14ac:dyDescent="0.25">
      <c r="A255" s="115" t="s">
        <v>450</v>
      </c>
      <c r="B255" s="115" t="s">
        <v>1491</v>
      </c>
      <c r="C255" s="118" t="s">
        <v>1490</v>
      </c>
    </row>
    <row r="256" spans="1:3" ht="18" customHeight="1" x14ac:dyDescent="0.25">
      <c r="A256" s="115" t="s">
        <v>450</v>
      </c>
      <c r="B256" s="115" t="s">
        <v>1493</v>
      </c>
      <c r="C256" s="118" t="s">
        <v>1492</v>
      </c>
    </row>
    <row r="257" spans="1:3" ht="18" customHeight="1" x14ac:dyDescent="0.25">
      <c r="A257" s="115" t="s">
        <v>450</v>
      </c>
      <c r="B257" s="115" t="s">
        <v>1495</v>
      </c>
      <c r="C257" s="118" t="s">
        <v>1494</v>
      </c>
    </row>
    <row r="258" spans="1:3" ht="18" customHeight="1" x14ac:dyDescent="0.25">
      <c r="A258" s="115" t="s">
        <v>450</v>
      </c>
      <c r="B258" s="115" t="s">
        <v>1497</v>
      </c>
      <c r="C258" s="118" t="s">
        <v>1496</v>
      </c>
    </row>
    <row r="259" spans="1:3" ht="18" customHeight="1" x14ac:dyDescent="0.25">
      <c r="A259" s="115" t="s">
        <v>450</v>
      </c>
      <c r="B259" s="115" t="s">
        <v>1499</v>
      </c>
      <c r="C259" s="118" t="s">
        <v>1498</v>
      </c>
    </row>
    <row r="260" spans="1:3" ht="18" customHeight="1" x14ac:dyDescent="0.25">
      <c r="A260" s="115" t="s">
        <v>450</v>
      </c>
      <c r="B260" s="115" t="s">
        <v>1501</v>
      </c>
      <c r="C260" s="118" t="s">
        <v>1500</v>
      </c>
    </row>
    <row r="261" spans="1:3" ht="18" customHeight="1" x14ac:dyDescent="0.25">
      <c r="A261" s="115" t="s">
        <v>450</v>
      </c>
      <c r="B261" s="115" t="s">
        <v>1503</v>
      </c>
      <c r="C261" s="118" t="s">
        <v>1502</v>
      </c>
    </row>
    <row r="262" spans="1:3" ht="18" customHeight="1" x14ac:dyDescent="0.25">
      <c r="A262" s="115" t="s">
        <v>450</v>
      </c>
      <c r="B262" s="115" t="s">
        <v>1505</v>
      </c>
      <c r="C262" s="118" t="s">
        <v>1504</v>
      </c>
    </row>
    <row r="263" spans="1:3" ht="18" customHeight="1" x14ac:dyDescent="0.25">
      <c r="A263" s="115" t="s">
        <v>450</v>
      </c>
      <c r="B263" s="115" t="s">
        <v>1507</v>
      </c>
      <c r="C263" s="118" t="s">
        <v>1506</v>
      </c>
    </row>
    <row r="264" spans="1:3" ht="18" customHeight="1" x14ac:dyDescent="0.25">
      <c r="A264" s="115" t="s">
        <v>450</v>
      </c>
      <c r="B264" s="115" t="s">
        <v>1509</v>
      </c>
      <c r="C264" s="118" t="s">
        <v>1508</v>
      </c>
    </row>
    <row r="265" spans="1:3" ht="18" customHeight="1" x14ac:dyDescent="0.25">
      <c r="A265" s="115" t="s">
        <v>450</v>
      </c>
      <c r="B265" s="115" t="s">
        <v>1511</v>
      </c>
      <c r="C265" s="118" t="s">
        <v>1510</v>
      </c>
    </row>
    <row r="266" spans="1:3" ht="18" customHeight="1" x14ac:dyDescent="0.25">
      <c r="A266" s="115" t="s">
        <v>450</v>
      </c>
      <c r="B266" s="115" t="s">
        <v>1515</v>
      </c>
      <c r="C266" s="118" t="s">
        <v>1514</v>
      </c>
    </row>
    <row r="267" spans="1:3" ht="18" customHeight="1" x14ac:dyDescent="0.25">
      <c r="A267" s="115" t="s">
        <v>450</v>
      </c>
      <c r="B267" s="115" t="s">
        <v>1517</v>
      </c>
      <c r="C267" s="118" t="s">
        <v>1516</v>
      </c>
    </row>
    <row r="268" spans="1:3" ht="18" customHeight="1" x14ac:dyDescent="0.25">
      <c r="A268" s="115" t="s">
        <v>450</v>
      </c>
      <c r="B268" s="115" t="s">
        <v>1519</v>
      </c>
      <c r="C268" s="118" t="s">
        <v>1518</v>
      </c>
    </row>
    <row r="269" spans="1:3" ht="18" customHeight="1" x14ac:dyDescent="0.25">
      <c r="A269" s="115" t="s">
        <v>450</v>
      </c>
      <c r="B269" s="115" t="s">
        <v>1521</v>
      </c>
      <c r="C269" s="118" t="s">
        <v>1520</v>
      </c>
    </row>
    <row r="270" spans="1:3" ht="18" customHeight="1" x14ac:dyDescent="0.25">
      <c r="A270" s="115" t="s">
        <v>450</v>
      </c>
      <c r="B270" s="115" t="s">
        <v>584</v>
      </c>
      <c r="C270" s="118" t="s">
        <v>1530</v>
      </c>
    </row>
    <row r="271" spans="1:3" ht="18" customHeight="1" x14ac:dyDescent="0.25">
      <c r="A271" s="115" t="s">
        <v>450</v>
      </c>
      <c r="B271" s="115" t="s">
        <v>1532</v>
      </c>
      <c r="C271" s="118" t="s">
        <v>1531</v>
      </c>
    </row>
    <row r="272" spans="1:3" ht="18" customHeight="1" x14ac:dyDescent="0.25">
      <c r="A272" s="115" t="s">
        <v>450</v>
      </c>
      <c r="B272" s="115" t="s">
        <v>1538</v>
      </c>
      <c r="C272" s="118" t="s">
        <v>1537</v>
      </c>
    </row>
    <row r="273" spans="1:3" ht="18" customHeight="1" x14ac:dyDescent="0.25">
      <c r="A273" s="115" t="s">
        <v>450</v>
      </c>
      <c r="B273" s="115" t="s">
        <v>1540</v>
      </c>
      <c r="C273" s="118" t="s">
        <v>1539</v>
      </c>
    </row>
    <row r="274" spans="1:3" ht="18" customHeight="1" x14ac:dyDescent="0.25">
      <c r="A274" s="115" t="s">
        <v>450</v>
      </c>
      <c r="B274" s="115" t="s">
        <v>1542</v>
      </c>
      <c r="C274" s="118" t="s">
        <v>1541</v>
      </c>
    </row>
    <row r="275" spans="1:3" ht="18" customHeight="1" x14ac:dyDescent="0.25">
      <c r="A275" s="115" t="s">
        <v>450</v>
      </c>
      <c r="B275" s="115" t="s">
        <v>1544</v>
      </c>
      <c r="C275" s="118" t="s">
        <v>1543</v>
      </c>
    </row>
    <row r="276" spans="1:3" ht="18" customHeight="1" x14ac:dyDescent="0.25">
      <c r="A276" s="115" t="s">
        <v>450</v>
      </c>
      <c r="B276" s="115" t="s">
        <v>1546</v>
      </c>
      <c r="C276" s="118" t="s">
        <v>1545</v>
      </c>
    </row>
    <row r="277" spans="1:3" ht="18" customHeight="1" x14ac:dyDescent="0.25">
      <c r="A277" s="115" t="s">
        <v>450</v>
      </c>
      <c r="B277" s="115" t="s">
        <v>1548</v>
      </c>
      <c r="C277" s="118" t="s">
        <v>1547</v>
      </c>
    </row>
    <row r="278" spans="1:3" ht="18" customHeight="1" x14ac:dyDescent="0.25">
      <c r="A278" s="115" t="s">
        <v>450</v>
      </c>
      <c r="B278" s="115" t="s">
        <v>1550</v>
      </c>
      <c r="C278" s="118" t="s">
        <v>1549</v>
      </c>
    </row>
    <row r="279" spans="1:3" ht="18" customHeight="1" x14ac:dyDescent="0.25">
      <c r="A279" s="115" t="s">
        <v>450</v>
      </c>
      <c r="B279" s="115" t="s">
        <v>1552</v>
      </c>
      <c r="C279" s="118" t="s">
        <v>1551</v>
      </c>
    </row>
    <row r="280" spans="1:3" ht="18" customHeight="1" x14ac:dyDescent="0.25">
      <c r="A280" s="115" t="s">
        <v>450</v>
      </c>
      <c r="B280" s="115" t="s">
        <v>1554</v>
      </c>
      <c r="C280" s="118" t="s">
        <v>1553</v>
      </c>
    </row>
    <row r="281" spans="1:3" ht="18" customHeight="1" x14ac:dyDescent="0.25">
      <c r="A281" s="115" t="s">
        <v>450</v>
      </c>
      <c r="B281" s="115" t="s">
        <v>1614</v>
      </c>
      <c r="C281" s="118" t="s">
        <v>1819</v>
      </c>
    </row>
    <row r="282" spans="1:3" ht="18" customHeight="1" x14ac:dyDescent="0.25">
      <c r="A282" s="115" t="s">
        <v>450</v>
      </c>
      <c r="B282" s="115" t="s">
        <v>1616</v>
      </c>
      <c r="C282" s="118" t="s">
        <v>1615</v>
      </c>
    </row>
    <row r="283" spans="1:3" ht="18" customHeight="1" x14ac:dyDescent="0.25">
      <c r="A283" s="115" t="s">
        <v>450</v>
      </c>
      <c r="B283" s="115" t="s">
        <v>1620</v>
      </c>
      <c r="C283" s="118" t="s">
        <v>1619</v>
      </c>
    </row>
    <row r="284" spans="1:3" ht="18" customHeight="1" x14ac:dyDescent="0.25">
      <c r="A284" s="115" t="s">
        <v>450</v>
      </c>
      <c r="B284" s="115" t="s">
        <v>1792</v>
      </c>
      <c r="C284" s="118" t="s">
        <v>1791</v>
      </c>
    </row>
    <row r="285" spans="1:3" ht="18" customHeight="1" x14ac:dyDescent="0.25">
      <c r="A285" s="115" t="s">
        <v>450</v>
      </c>
      <c r="B285" s="115" t="s">
        <v>1794</v>
      </c>
      <c r="C285" s="118" t="s">
        <v>1793</v>
      </c>
    </row>
    <row r="286" spans="1:3" ht="18" customHeight="1" x14ac:dyDescent="0.25">
      <c r="A286" s="115" t="s">
        <v>450</v>
      </c>
      <c r="B286" s="115" t="s">
        <v>1796</v>
      </c>
      <c r="C286" s="118" t="s">
        <v>1795</v>
      </c>
    </row>
    <row r="287" spans="1:3" ht="18" customHeight="1" x14ac:dyDescent="0.25">
      <c r="A287" s="115" t="s">
        <v>450</v>
      </c>
      <c r="B287" s="115" t="s">
        <v>1798</v>
      </c>
      <c r="C287" s="118" t="s">
        <v>1797</v>
      </c>
    </row>
    <row r="288" spans="1:3" ht="18" customHeight="1" x14ac:dyDescent="0.25">
      <c r="A288" s="115" t="s">
        <v>453</v>
      </c>
      <c r="B288" s="115" t="s">
        <v>907</v>
      </c>
      <c r="C288" s="118" t="s">
        <v>906</v>
      </c>
    </row>
    <row r="289" spans="1:3" ht="18" customHeight="1" x14ac:dyDescent="0.25">
      <c r="A289" s="115" t="s">
        <v>453</v>
      </c>
      <c r="B289" s="115" t="s">
        <v>1334</v>
      </c>
      <c r="C289" s="118" t="s">
        <v>1333</v>
      </c>
    </row>
    <row r="290" spans="1:3" ht="18" customHeight="1" x14ac:dyDescent="0.25">
      <c r="A290" s="115" t="s">
        <v>453</v>
      </c>
      <c r="B290" s="115" t="s">
        <v>1336</v>
      </c>
      <c r="C290" s="118" t="s">
        <v>1335</v>
      </c>
    </row>
    <row r="291" spans="1:3" ht="18" customHeight="1" x14ac:dyDescent="0.25">
      <c r="A291" s="115" t="s">
        <v>453</v>
      </c>
      <c r="B291" s="115" t="s">
        <v>1338</v>
      </c>
      <c r="C291" s="118" t="s">
        <v>1337</v>
      </c>
    </row>
    <row r="292" spans="1:3" ht="18" customHeight="1" x14ac:dyDescent="0.25">
      <c r="A292" s="115" t="s">
        <v>453</v>
      </c>
      <c r="B292" s="115" t="s">
        <v>1636</v>
      </c>
      <c r="C292" s="118" t="s">
        <v>1820</v>
      </c>
    </row>
    <row r="293" spans="1:3" ht="18" customHeight="1" x14ac:dyDescent="0.25">
      <c r="A293" s="115" t="s">
        <v>453</v>
      </c>
      <c r="B293" s="115" t="s">
        <v>1638</v>
      </c>
      <c r="C293" s="118" t="s">
        <v>1637</v>
      </c>
    </row>
    <row r="294" spans="1:3" ht="18" customHeight="1" x14ac:dyDescent="0.25">
      <c r="A294" s="115" t="s">
        <v>453</v>
      </c>
      <c r="B294" s="115" t="s">
        <v>1640</v>
      </c>
      <c r="C294" s="118" t="s">
        <v>1639</v>
      </c>
    </row>
    <row r="295" spans="1:3" ht="18" customHeight="1" x14ac:dyDescent="0.25">
      <c r="A295" s="115" t="s">
        <v>453</v>
      </c>
      <c r="B295" s="115" t="s">
        <v>1642</v>
      </c>
      <c r="C295" s="118" t="s">
        <v>1641</v>
      </c>
    </row>
    <row r="296" spans="1:3" ht="18" customHeight="1" x14ac:dyDescent="0.25">
      <c r="A296" s="115" t="s">
        <v>453</v>
      </c>
      <c r="B296" s="115" t="s">
        <v>1644</v>
      </c>
      <c r="C296" s="118" t="s">
        <v>1643</v>
      </c>
    </row>
    <row r="297" spans="1:3" ht="18" customHeight="1" x14ac:dyDescent="0.25">
      <c r="A297" s="115" t="s">
        <v>556</v>
      </c>
      <c r="B297" s="115" t="s">
        <v>839</v>
      </c>
      <c r="C297" s="118" t="s">
        <v>838</v>
      </c>
    </row>
    <row r="298" spans="1:3" ht="18" customHeight="1" x14ac:dyDescent="0.25">
      <c r="A298" s="115" t="s">
        <v>556</v>
      </c>
      <c r="B298" s="115" t="s">
        <v>847</v>
      </c>
      <c r="C298" s="118" t="s">
        <v>846</v>
      </c>
    </row>
    <row r="299" spans="1:3" ht="18" customHeight="1" x14ac:dyDescent="0.25">
      <c r="A299" s="115" t="s">
        <v>556</v>
      </c>
      <c r="B299" s="115" t="s">
        <v>849</v>
      </c>
      <c r="C299" s="115" t="s">
        <v>848</v>
      </c>
    </row>
    <row r="300" spans="1:3" ht="18" customHeight="1" x14ac:dyDescent="0.25">
      <c r="A300" s="115" t="s">
        <v>556</v>
      </c>
      <c r="B300" s="115" t="s">
        <v>851</v>
      </c>
      <c r="C300" s="118" t="s">
        <v>850</v>
      </c>
    </row>
    <row r="301" spans="1:3" ht="18" customHeight="1" x14ac:dyDescent="0.25">
      <c r="A301" s="115" t="s">
        <v>556</v>
      </c>
      <c r="B301" s="115" t="s">
        <v>852</v>
      </c>
      <c r="C301" s="118" t="s">
        <v>1821</v>
      </c>
    </row>
    <row r="302" spans="1:3" ht="18" customHeight="1" x14ac:dyDescent="0.25">
      <c r="A302" s="115" t="s">
        <v>556</v>
      </c>
      <c r="B302" s="115" t="s">
        <v>854</v>
      </c>
      <c r="C302" s="118" t="s">
        <v>853</v>
      </c>
    </row>
    <row r="303" spans="1:3" ht="18" customHeight="1" x14ac:dyDescent="0.25">
      <c r="A303" s="115" t="s">
        <v>556</v>
      </c>
      <c r="B303" s="115" t="s">
        <v>856</v>
      </c>
      <c r="C303" s="118" t="s">
        <v>855</v>
      </c>
    </row>
    <row r="304" spans="1:3" ht="18" customHeight="1" x14ac:dyDescent="0.25">
      <c r="A304" s="115" t="s">
        <v>556</v>
      </c>
      <c r="B304" s="115" t="s">
        <v>858</v>
      </c>
      <c r="C304" s="118" t="s">
        <v>857</v>
      </c>
    </row>
    <row r="305" spans="1:3" ht="18" customHeight="1" x14ac:dyDescent="0.25">
      <c r="A305" s="115" t="s">
        <v>556</v>
      </c>
      <c r="B305" s="115" t="s">
        <v>860</v>
      </c>
      <c r="C305" s="118" t="s">
        <v>859</v>
      </c>
    </row>
    <row r="306" spans="1:3" ht="18" customHeight="1" x14ac:dyDescent="0.25">
      <c r="A306" s="115" t="s">
        <v>556</v>
      </c>
      <c r="B306" s="115" t="s">
        <v>862</v>
      </c>
      <c r="C306" s="118" t="s">
        <v>861</v>
      </c>
    </row>
    <row r="307" spans="1:3" ht="18" customHeight="1" x14ac:dyDescent="0.25">
      <c r="A307" s="115" t="s">
        <v>556</v>
      </c>
      <c r="B307" s="115" t="s">
        <v>864</v>
      </c>
      <c r="C307" s="118" t="s">
        <v>863</v>
      </c>
    </row>
    <row r="308" spans="1:3" ht="18" customHeight="1" x14ac:dyDescent="0.25">
      <c r="A308" s="115" t="s">
        <v>556</v>
      </c>
      <c r="B308" s="115" t="s">
        <v>866</v>
      </c>
      <c r="C308" s="118" t="s">
        <v>865</v>
      </c>
    </row>
    <row r="309" spans="1:3" ht="18" customHeight="1" x14ac:dyDescent="0.25">
      <c r="A309" s="115" t="s">
        <v>556</v>
      </c>
      <c r="B309" s="115" t="s">
        <v>868</v>
      </c>
      <c r="C309" s="118" t="s">
        <v>867</v>
      </c>
    </row>
    <row r="310" spans="1:3" ht="18" customHeight="1" x14ac:dyDescent="0.25">
      <c r="A310" s="115" t="s">
        <v>556</v>
      </c>
      <c r="B310" s="115" t="s">
        <v>870</v>
      </c>
      <c r="C310" s="118" t="s">
        <v>869</v>
      </c>
    </row>
    <row r="311" spans="1:3" ht="18" customHeight="1" x14ac:dyDescent="0.25">
      <c r="A311" s="115" t="s">
        <v>556</v>
      </c>
      <c r="B311" s="115" t="s">
        <v>872</v>
      </c>
      <c r="C311" s="118" t="s">
        <v>871</v>
      </c>
    </row>
    <row r="312" spans="1:3" ht="18" customHeight="1" x14ac:dyDescent="0.25">
      <c r="A312" s="115" t="s">
        <v>556</v>
      </c>
      <c r="B312" s="115" t="s">
        <v>874</v>
      </c>
      <c r="C312" s="115" t="s">
        <v>873</v>
      </c>
    </row>
    <row r="313" spans="1:3" ht="18" customHeight="1" x14ac:dyDescent="0.25">
      <c r="A313" s="115" t="s">
        <v>556</v>
      </c>
      <c r="B313" s="115" t="s">
        <v>875</v>
      </c>
      <c r="C313" s="118" t="s">
        <v>1822</v>
      </c>
    </row>
    <row r="314" spans="1:3" ht="18" customHeight="1" x14ac:dyDescent="0.25">
      <c r="A314" s="115" t="s">
        <v>556</v>
      </c>
      <c r="B314" s="115" t="s">
        <v>877</v>
      </c>
      <c r="C314" s="118" t="s">
        <v>876</v>
      </c>
    </row>
    <row r="315" spans="1:3" ht="18" customHeight="1" x14ac:dyDescent="0.25">
      <c r="A315" s="115" t="s">
        <v>556</v>
      </c>
      <c r="B315" s="115" t="s">
        <v>879</v>
      </c>
      <c r="C315" s="118" t="s">
        <v>878</v>
      </c>
    </row>
    <row r="316" spans="1:3" ht="18" customHeight="1" x14ac:dyDescent="0.25">
      <c r="A316" s="115" t="s">
        <v>556</v>
      </c>
      <c r="B316" s="115" t="s">
        <v>881</v>
      </c>
      <c r="C316" s="118" t="s">
        <v>880</v>
      </c>
    </row>
    <row r="317" spans="1:3" ht="18" customHeight="1" x14ac:dyDescent="0.25">
      <c r="A317" s="115" t="s">
        <v>556</v>
      </c>
      <c r="B317" s="115" t="s">
        <v>883</v>
      </c>
      <c r="C317" s="118" t="s">
        <v>882</v>
      </c>
    </row>
    <row r="318" spans="1:3" ht="18" customHeight="1" x14ac:dyDescent="0.25">
      <c r="A318" s="115" t="s">
        <v>556</v>
      </c>
      <c r="B318" s="115" t="s">
        <v>884</v>
      </c>
      <c r="C318" s="118" t="s">
        <v>1823</v>
      </c>
    </row>
    <row r="319" spans="1:3" ht="18" customHeight="1" x14ac:dyDescent="0.25">
      <c r="A319" s="115" t="s">
        <v>556</v>
      </c>
      <c r="B319" s="115" t="s">
        <v>886</v>
      </c>
      <c r="C319" s="118" t="s">
        <v>885</v>
      </c>
    </row>
    <row r="320" spans="1:3" ht="18" customHeight="1" x14ac:dyDescent="0.25">
      <c r="A320" s="115" t="s">
        <v>556</v>
      </c>
      <c r="B320" s="115" t="s">
        <v>888</v>
      </c>
      <c r="C320" s="118" t="s">
        <v>887</v>
      </c>
    </row>
    <row r="321" spans="1:3" ht="18" customHeight="1" x14ac:dyDescent="0.25">
      <c r="A321" s="115" t="s">
        <v>556</v>
      </c>
      <c r="B321" s="115" t="s">
        <v>890</v>
      </c>
      <c r="C321" s="118" t="s">
        <v>889</v>
      </c>
    </row>
    <row r="322" spans="1:3" ht="18" customHeight="1" x14ac:dyDescent="0.25">
      <c r="A322" s="115" t="s">
        <v>556</v>
      </c>
      <c r="B322" s="115" t="s">
        <v>892</v>
      </c>
      <c r="C322" s="115" t="s">
        <v>891</v>
      </c>
    </row>
    <row r="323" spans="1:3" ht="18" customHeight="1" x14ac:dyDescent="0.25">
      <c r="A323" s="115" t="s">
        <v>556</v>
      </c>
      <c r="B323" s="115" t="s">
        <v>894</v>
      </c>
      <c r="C323" s="118" t="s">
        <v>893</v>
      </c>
    </row>
    <row r="324" spans="1:3" ht="18" customHeight="1" x14ac:dyDescent="0.25">
      <c r="A324" s="115" t="s">
        <v>556</v>
      </c>
      <c r="B324" s="115" t="s">
        <v>896</v>
      </c>
      <c r="C324" s="118" t="s">
        <v>895</v>
      </c>
    </row>
    <row r="325" spans="1:3" ht="18" customHeight="1" x14ac:dyDescent="0.25">
      <c r="A325" s="115" t="s">
        <v>556</v>
      </c>
      <c r="B325" s="115" t="s">
        <v>898</v>
      </c>
      <c r="C325" s="118" t="s">
        <v>897</v>
      </c>
    </row>
    <row r="326" spans="1:3" ht="18" customHeight="1" x14ac:dyDescent="0.25">
      <c r="A326" s="115" t="s">
        <v>556</v>
      </c>
      <c r="B326" s="115" t="s">
        <v>900</v>
      </c>
      <c r="C326" s="118" t="s">
        <v>899</v>
      </c>
    </row>
    <row r="327" spans="1:3" ht="18" customHeight="1" x14ac:dyDescent="0.25">
      <c r="A327" s="115" t="s">
        <v>556</v>
      </c>
      <c r="B327" s="115" t="s">
        <v>902</v>
      </c>
      <c r="C327" s="115" t="s">
        <v>901</v>
      </c>
    </row>
    <row r="328" spans="1:3" ht="18" customHeight="1" x14ac:dyDescent="0.25">
      <c r="A328" s="115" t="s">
        <v>556</v>
      </c>
      <c r="B328" s="115" t="s">
        <v>904</v>
      </c>
      <c r="C328" s="118" t="s">
        <v>903</v>
      </c>
    </row>
    <row r="329" spans="1:3" ht="18" customHeight="1" x14ac:dyDescent="0.25">
      <c r="A329" s="115" t="s">
        <v>444</v>
      </c>
      <c r="B329" s="115" t="s">
        <v>773</v>
      </c>
      <c r="C329" s="118" t="s">
        <v>772</v>
      </c>
    </row>
    <row r="330" spans="1:3" ht="18" customHeight="1" x14ac:dyDescent="0.25">
      <c r="A330" s="115" t="s">
        <v>444</v>
      </c>
      <c r="B330" s="115" t="s">
        <v>779</v>
      </c>
      <c r="C330" s="118" t="s">
        <v>778</v>
      </c>
    </row>
    <row r="331" spans="1:3" ht="18" customHeight="1" x14ac:dyDescent="0.25">
      <c r="A331" s="115" t="s">
        <v>444</v>
      </c>
      <c r="B331" s="115" t="s">
        <v>794</v>
      </c>
      <c r="C331" s="118" t="s">
        <v>793</v>
      </c>
    </row>
    <row r="332" spans="1:3" ht="18" customHeight="1" x14ac:dyDescent="0.25">
      <c r="A332" s="115" t="s">
        <v>444</v>
      </c>
      <c r="B332" s="115" t="s">
        <v>806</v>
      </c>
      <c r="C332" s="118" t="s">
        <v>805</v>
      </c>
    </row>
    <row r="333" spans="1:3" ht="18" customHeight="1" x14ac:dyDescent="0.25">
      <c r="A333" s="115" t="s">
        <v>444</v>
      </c>
      <c r="B333" s="115" t="s">
        <v>816</v>
      </c>
      <c r="C333" s="118" t="s">
        <v>815</v>
      </c>
    </row>
    <row r="334" spans="1:3" ht="18" customHeight="1" x14ac:dyDescent="0.25">
      <c r="A334" s="115" t="s">
        <v>444</v>
      </c>
      <c r="B334" s="115" t="s">
        <v>819</v>
      </c>
      <c r="C334" s="118" t="s">
        <v>818</v>
      </c>
    </row>
    <row r="335" spans="1:3" ht="18" customHeight="1" x14ac:dyDescent="0.25">
      <c r="A335" s="115" t="s">
        <v>444</v>
      </c>
      <c r="B335" s="115" t="s">
        <v>831</v>
      </c>
      <c r="C335" s="118" t="s">
        <v>830</v>
      </c>
    </row>
    <row r="336" spans="1:3" ht="18" customHeight="1" x14ac:dyDescent="0.25">
      <c r="A336" s="115" t="s">
        <v>444</v>
      </c>
      <c r="B336" s="115" t="s">
        <v>837</v>
      </c>
      <c r="C336" s="118" t="s">
        <v>836</v>
      </c>
    </row>
    <row r="337" spans="1:3" ht="18" customHeight="1" x14ac:dyDescent="0.25">
      <c r="A337" s="115" t="s">
        <v>444</v>
      </c>
      <c r="B337" s="115" t="s">
        <v>841</v>
      </c>
      <c r="C337" s="118" t="s">
        <v>840</v>
      </c>
    </row>
    <row r="338" spans="1:3" ht="18" customHeight="1" x14ac:dyDescent="0.25">
      <c r="A338" s="115" t="s">
        <v>444</v>
      </c>
      <c r="B338" s="115" t="s">
        <v>843</v>
      </c>
      <c r="C338" s="118" t="s">
        <v>842</v>
      </c>
    </row>
    <row r="339" spans="1:3" ht="18" customHeight="1" x14ac:dyDescent="0.25">
      <c r="A339" s="115" t="s">
        <v>444</v>
      </c>
      <c r="B339" s="115" t="s">
        <v>845</v>
      </c>
      <c r="C339" s="118" t="s">
        <v>844</v>
      </c>
    </row>
    <row r="340" spans="1:3" ht="18" customHeight="1" x14ac:dyDescent="0.25">
      <c r="A340" s="115" t="s">
        <v>461</v>
      </c>
      <c r="B340" s="115" t="s">
        <v>1037</v>
      </c>
      <c r="C340" s="115" t="s">
        <v>1036</v>
      </c>
    </row>
    <row r="341" spans="1:3" ht="18" customHeight="1" x14ac:dyDescent="0.25">
      <c r="A341" s="115" t="s">
        <v>461</v>
      </c>
      <c r="B341" s="115" t="s">
        <v>1038</v>
      </c>
      <c r="C341" s="118" t="s">
        <v>1824</v>
      </c>
    </row>
    <row r="342" spans="1:3" ht="18" customHeight="1" x14ac:dyDescent="0.25">
      <c r="A342" s="115" t="s">
        <v>461</v>
      </c>
      <c r="B342" s="115" t="s">
        <v>1040</v>
      </c>
      <c r="C342" s="118" t="s">
        <v>1039</v>
      </c>
    </row>
    <row r="343" spans="1:3" ht="18" customHeight="1" x14ac:dyDescent="0.25">
      <c r="A343" s="115" t="s">
        <v>461</v>
      </c>
      <c r="B343" s="115" t="s">
        <v>1042</v>
      </c>
      <c r="C343" s="118" t="s">
        <v>1041</v>
      </c>
    </row>
    <row r="344" spans="1:3" ht="18" customHeight="1" x14ac:dyDescent="0.25">
      <c r="A344" s="115" t="s">
        <v>461</v>
      </c>
      <c r="B344" s="115" t="s">
        <v>1044</v>
      </c>
      <c r="C344" s="118" t="s">
        <v>1043</v>
      </c>
    </row>
    <row r="345" spans="1:3" ht="18" customHeight="1" x14ac:dyDescent="0.25">
      <c r="A345" s="115" t="s">
        <v>461</v>
      </c>
      <c r="B345" s="115" t="s">
        <v>1046</v>
      </c>
      <c r="C345" s="118" t="s">
        <v>1045</v>
      </c>
    </row>
    <row r="346" spans="1:3" ht="18" customHeight="1" x14ac:dyDescent="0.25">
      <c r="A346" s="115" t="s">
        <v>461</v>
      </c>
      <c r="B346" s="115" t="s">
        <v>1048</v>
      </c>
      <c r="C346" s="118" t="s">
        <v>1047</v>
      </c>
    </row>
    <row r="347" spans="1:3" ht="18" customHeight="1" x14ac:dyDescent="0.25">
      <c r="A347" s="115" t="s">
        <v>461</v>
      </c>
      <c r="B347" s="115" t="s">
        <v>1050</v>
      </c>
      <c r="C347" s="118" t="s">
        <v>1049</v>
      </c>
    </row>
    <row r="348" spans="1:3" ht="18" customHeight="1" x14ac:dyDescent="0.25">
      <c r="A348" s="115" t="s">
        <v>461</v>
      </c>
      <c r="B348" s="115" t="s">
        <v>1054</v>
      </c>
      <c r="C348" s="115" t="s">
        <v>1053</v>
      </c>
    </row>
    <row r="349" spans="1:3" ht="18" customHeight="1" x14ac:dyDescent="0.25">
      <c r="A349" s="115" t="s">
        <v>461</v>
      </c>
      <c r="B349" s="115" t="s">
        <v>1056</v>
      </c>
      <c r="C349" s="118" t="s">
        <v>1055</v>
      </c>
    </row>
    <row r="350" spans="1:3" ht="18" customHeight="1" x14ac:dyDescent="0.25">
      <c r="A350" s="115" t="s">
        <v>461</v>
      </c>
      <c r="B350" s="115" t="s">
        <v>1058</v>
      </c>
      <c r="C350" s="118" t="s">
        <v>1057</v>
      </c>
    </row>
    <row r="351" spans="1:3" ht="18" customHeight="1" x14ac:dyDescent="0.25">
      <c r="A351" s="115" t="s">
        <v>461</v>
      </c>
      <c r="B351" s="115" t="s">
        <v>1060</v>
      </c>
      <c r="C351" s="118" t="s">
        <v>1059</v>
      </c>
    </row>
    <row r="352" spans="1:3" ht="18" customHeight="1" x14ac:dyDescent="0.25">
      <c r="A352" s="115" t="s">
        <v>461</v>
      </c>
      <c r="B352" s="115" t="s">
        <v>1062</v>
      </c>
      <c r="C352" s="115" t="s">
        <v>1061</v>
      </c>
    </row>
    <row r="353" spans="1:3" ht="18" customHeight="1" x14ac:dyDescent="0.25">
      <c r="A353" s="115" t="s">
        <v>461</v>
      </c>
      <c r="B353" s="115" t="s">
        <v>1064</v>
      </c>
      <c r="C353" s="118" t="s">
        <v>1063</v>
      </c>
    </row>
    <row r="354" spans="1:3" ht="18" customHeight="1" x14ac:dyDescent="0.25">
      <c r="A354" s="115" t="s">
        <v>461</v>
      </c>
      <c r="B354" s="115" t="s">
        <v>1066</v>
      </c>
      <c r="C354" s="118" t="s">
        <v>1065</v>
      </c>
    </row>
    <row r="355" spans="1:3" ht="18" customHeight="1" x14ac:dyDescent="0.25">
      <c r="A355" s="115" t="s">
        <v>461</v>
      </c>
      <c r="B355" s="115" t="s">
        <v>1068</v>
      </c>
      <c r="C355" s="118" t="s">
        <v>1067</v>
      </c>
    </row>
    <row r="356" spans="1:3" ht="18" customHeight="1" x14ac:dyDescent="0.25">
      <c r="A356" s="115" t="s">
        <v>461</v>
      </c>
      <c r="B356" s="115" t="s">
        <v>1070</v>
      </c>
      <c r="C356" s="118" t="s">
        <v>1069</v>
      </c>
    </row>
    <row r="357" spans="1:3" ht="18" customHeight="1" x14ac:dyDescent="0.25">
      <c r="A357" s="115" t="s">
        <v>461</v>
      </c>
      <c r="B357" s="115" t="s">
        <v>1072</v>
      </c>
      <c r="C357" s="118" t="s">
        <v>1071</v>
      </c>
    </row>
    <row r="358" spans="1:3" ht="18" customHeight="1" x14ac:dyDescent="0.25">
      <c r="A358" s="115" t="s">
        <v>461</v>
      </c>
      <c r="B358" s="115" t="s">
        <v>1074</v>
      </c>
      <c r="C358" s="118" t="s">
        <v>1073</v>
      </c>
    </row>
    <row r="359" spans="1:3" ht="18" customHeight="1" x14ac:dyDescent="0.25">
      <c r="A359" s="115" t="s">
        <v>461</v>
      </c>
      <c r="B359" s="115" t="s">
        <v>1076</v>
      </c>
      <c r="C359" s="118" t="s">
        <v>1075</v>
      </c>
    </row>
    <row r="360" spans="1:3" ht="18" customHeight="1" x14ac:dyDescent="0.25">
      <c r="A360" s="115" t="s">
        <v>461</v>
      </c>
      <c r="B360" s="115" t="s">
        <v>1078</v>
      </c>
      <c r="C360" s="115" t="s">
        <v>1077</v>
      </c>
    </row>
    <row r="361" spans="1:3" ht="18" customHeight="1" x14ac:dyDescent="0.25">
      <c r="A361" s="115" t="s">
        <v>461</v>
      </c>
      <c r="B361" s="115" t="s">
        <v>1080</v>
      </c>
      <c r="C361" s="118" t="s">
        <v>1079</v>
      </c>
    </row>
    <row r="362" spans="1:3" ht="18" customHeight="1" x14ac:dyDescent="0.25">
      <c r="A362" s="115" t="s">
        <v>461</v>
      </c>
      <c r="B362" s="115" t="s">
        <v>1082</v>
      </c>
      <c r="C362" s="118" t="s">
        <v>1081</v>
      </c>
    </row>
    <row r="363" spans="1:3" ht="18" customHeight="1" x14ac:dyDescent="0.25">
      <c r="A363" s="115" t="s">
        <v>461</v>
      </c>
      <c r="B363" s="115" t="s">
        <v>1096</v>
      </c>
      <c r="C363" s="118" t="s">
        <v>1825</v>
      </c>
    </row>
    <row r="364" spans="1:3" ht="18" customHeight="1" x14ac:dyDescent="0.25">
      <c r="A364" s="115" t="s">
        <v>461</v>
      </c>
      <c r="B364" s="115" t="s">
        <v>1098</v>
      </c>
      <c r="C364" s="118" t="s">
        <v>1097</v>
      </c>
    </row>
    <row r="365" spans="1:3" ht="18" customHeight="1" x14ac:dyDescent="0.25">
      <c r="A365" s="115" t="s">
        <v>461</v>
      </c>
      <c r="B365" s="115" t="s">
        <v>1100</v>
      </c>
      <c r="C365" s="118" t="s">
        <v>1099</v>
      </c>
    </row>
    <row r="366" spans="1:3" ht="18" customHeight="1" x14ac:dyDescent="0.25">
      <c r="A366" s="115" t="s">
        <v>461</v>
      </c>
      <c r="B366" s="115" t="s">
        <v>1102</v>
      </c>
      <c r="C366" s="118" t="s">
        <v>1101</v>
      </c>
    </row>
    <row r="367" spans="1:3" ht="18" customHeight="1" x14ac:dyDescent="0.25">
      <c r="A367" s="115" t="s">
        <v>461</v>
      </c>
      <c r="B367" s="115" t="s">
        <v>1106</v>
      </c>
      <c r="C367" s="118" t="s">
        <v>1105</v>
      </c>
    </row>
    <row r="368" spans="1:3" ht="18" customHeight="1" x14ac:dyDescent="0.25">
      <c r="A368" s="115" t="s">
        <v>461</v>
      </c>
      <c r="B368" s="115" t="s">
        <v>1108</v>
      </c>
      <c r="C368" s="118" t="s">
        <v>1107</v>
      </c>
    </row>
    <row r="369" spans="1:3" ht="18" customHeight="1" x14ac:dyDescent="0.25">
      <c r="A369" s="115" t="s">
        <v>461</v>
      </c>
      <c r="B369" s="115" t="s">
        <v>1110</v>
      </c>
      <c r="C369" s="118" t="s">
        <v>1109</v>
      </c>
    </row>
    <row r="370" spans="1:3" ht="18" customHeight="1" x14ac:dyDescent="0.25">
      <c r="A370" s="115" t="s">
        <v>461</v>
      </c>
      <c r="B370" s="115" t="s">
        <v>1112</v>
      </c>
      <c r="C370" s="118" t="s">
        <v>1111</v>
      </c>
    </row>
    <row r="371" spans="1:3" ht="18" customHeight="1" x14ac:dyDescent="0.25">
      <c r="A371" s="115" t="s">
        <v>461</v>
      </c>
      <c r="B371" s="115" t="s">
        <v>1114</v>
      </c>
      <c r="C371" s="118" t="s">
        <v>1113</v>
      </c>
    </row>
    <row r="372" spans="1:3" ht="18" customHeight="1" x14ac:dyDescent="0.25">
      <c r="A372" s="115" t="s">
        <v>461</v>
      </c>
      <c r="B372" s="115" t="s">
        <v>1116</v>
      </c>
      <c r="C372" s="118" t="s">
        <v>1115</v>
      </c>
    </row>
    <row r="373" spans="1:3" ht="18" customHeight="1" x14ac:dyDescent="0.25">
      <c r="A373" s="115" t="s">
        <v>461</v>
      </c>
      <c r="B373" s="115" t="s">
        <v>1118</v>
      </c>
      <c r="C373" s="118" t="s">
        <v>1117</v>
      </c>
    </row>
    <row r="374" spans="1:3" ht="18" customHeight="1" x14ac:dyDescent="0.25">
      <c r="A374" s="115" t="s">
        <v>461</v>
      </c>
      <c r="B374" s="115" t="s">
        <v>1120</v>
      </c>
      <c r="C374" s="115" t="s">
        <v>1119</v>
      </c>
    </row>
    <row r="375" spans="1:3" ht="18" customHeight="1" x14ac:dyDescent="0.25">
      <c r="A375" s="115" t="s">
        <v>461</v>
      </c>
      <c r="B375" s="115" t="s">
        <v>1122</v>
      </c>
      <c r="C375" s="118" t="s">
        <v>1121</v>
      </c>
    </row>
    <row r="376" spans="1:3" ht="18" customHeight="1" x14ac:dyDescent="0.25">
      <c r="A376" s="115" t="s">
        <v>461</v>
      </c>
      <c r="B376" s="115" t="s">
        <v>1124</v>
      </c>
      <c r="C376" s="118" t="s">
        <v>1123</v>
      </c>
    </row>
    <row r="377" spans="1:3" ht="18" customHeight="1" x14ac:dyDescent="0.25">
      <c r="A377" s="115" t="s">
        <v>461</v>
      </c>
      <c r="B377" s="115" t="s">
        <v>1126</v>
      </c>
      <c r="C377" s="118" t="s">
        <v>1125</v>
      </c>
    </row>
    <row r="378" spans="1:3" ht="18" customHeight="1" x14ac:dyDescent="0.25">
      <c r="A378" s="115" t="s">
        <v>461</v>
      </c>
      <c r="B378" s="115" t="s">
        <v>1128</v>
      </c>
      <c r="C378" s="118" t="s">
        <v>1127</v>
      </c>
    </row>
    <row r="379" spans="1:3" ht="18" customHeight="1" x14ac:dyDescent="0.25">
      <c r="A379" s="115" t="s">
        <v>461</v>
      </c>
      <c r="B379" s="115" t="s">
        <v>1130</v>
      </c>
      <c r="C379" s="115" t="s">
        <v>1129</v>
      </c>
    </row>
    <row r="380" spans="1:3" ht="18" customHeight="1" x14ac:dyDescent="0.25">
      <c r="A380" s="115" t="s">
        <v>461</v>
      </c>
      <c r="B380" s="115" t="s">
        <v>1132</v>
      </c>
      <c r="C380" s="118" t="s">
        <v>1131</v>
      </c>
    </row>
    <row r="381" spans="1:3" ht="18" customHeight="1" x14ac:dyDescent="0.25">
      <c r="A381" s="115" t="s">
        <v>461</v>
      </c>
      <c r="B381" s="115" t="s">
        <v>1210</v>
      </c>
      <c r="C381" s="115" t="s">
        <v>1209</v>
      </c>
    </row>
    <row r="382" spans="1:3" ht="18" customHeight="1" x14ac:dyDescent="0.25">
      <c r="A382" s="115" t="s">
        <v>461</v>
      </c>
      <c r="B382" s="115" t="s">
        <v>1211</v>
      </c>
      <c r="C382" s="118" t="s">
        <v>1826</v>
      </c>
    </row>
    <row r="383" spans="1:3" ht="18" customHeight="1" x14ac:dyDescent="0.25">
      <c r="A383" s="115" t="s">
        <v>461</v>
      </c>
      <c r="B383" s="115" t="s">
        <v>1213</v>
      </c>
      <c r="C383" s="118" t="s">
        <v>1212</v>
      </c>
    </row>
    <row r="384" spans="1:3" ht="18" customHeight="1" x14ac:dyDescent="0.25">
      <c r="A384" s="115" t="s">
        <v>461</v>
      </c>
      <c r="B384" s="115" t="s">
        <v>1215</v>
      </c>
      <c r="C384" s="118" t="s">
        <v>1214</v>
      </c>
    </row>
    <row r="385" spans="1:3" ht="18" customHeight="1" x14ac:dyDescent="0.25">
      <c r="A385" s="115" t="s">
        <v>461</v>
      </c>
      <c r="B385" s="115" t="s">
        <v>1217</v>
      </c>
      <c r="C385" s="118" t="s">
        <v>1216</v>
      </c>
    </row>
    <row r="386" spans="1:3" ht="18" customHeight="1" x14ac:dyDescent="0.25">
      <c r="A386" s="115" t="s">
        <v>461</v>
      </c>
      <c r="B386" s="115" t="s">
        <v>1219</v>
      </c>
      <c r="C386" s="118" t="s">
        <v>1218</v>
      </c>
    </row>
    <row r="387" spans="1:3" ht="18" customHeight="1" x14ac:dyDescent="0.25">
      <c r="A387" s="115" t="s">
        <v>461</v>
      </c>
      <c r="B387" s="115" t="s">
        <v>1221</v>
      </c>
      <c r="C387" s="118" t="s">
        <v>1220</v>
      </c>
    </row>
    <row r="388" spans="1:3" ht="18" customHeight="1" x14ac:dyDescent="0.25">
      <c r="A388" s="115" t="s">
        <v>461</v>
      </c>
      <c r="B388" s="115" t="s">
        <v>1223</v>
      </c>
      <c r="C388" s="118" t="s">
        <v>1222</v>
      </c>
    </row>
    <row r="389" spans="1:3" ht="18" customHeight="1" x14ac:dyDescent="0.25">
      <c r="A389" s="115" t="s">
        <v>461</v>
      </c>
      <c r="B389" s="115" t="s">
        <v>1225</v>
      </c>
      <c r="C389" s="118" t="s">
        <v>1224</v>
      </c>
    </row>
    <row r="390" spans="1:3" ht="18" customHeight="1" x14ac:dyDescent="0.25">
      <c r="A390" s="115" t="s">
        <v>461</v>
      </c>
      <c r="B390" s="115" t="s">
        <v>1227</v>
      </c>
      <c r="C390" s="118" t="s">
        <v>1226</v>
      </c>
    </row>
    <row r="391" spans="1:3" ht="18" customHeight="1" x14ac:dyDescent="0.25">
      <c r="A391" s="115" t="s">
        <v>461</v>
      </c>
      <c r="B391" s="115" t="s">
        <v>1229</v>
      </c>
      <c r="C391" s="118" t="s">
        <v>1228</v>
      </c>
    </row>
    <row r="392" spans="1:3" ht="18" customHeight="1" x14ac:dyDescent="0.25">
      <c r="A392" s="115" t="s">
        <v>461</v>
      </c>
      <c r="B392" s="115" t="s">
        <v>1231</v>
      </c>
      <c r="C392" s="118" t="s">
        <v>1230</v>
      </c>
    </row>
    <row r="393" spans="1:3" ht="18" customHeight="1" x14ac:dyDescent="0.25">
      <c r="A393" s="115" t="s">
        <v>461</v>
      </c>
      <c r="B393" s="115" t="s">
        <v>1233</v>
      </c>
      <c r="C393" s="118" t="s">
        <v>1232</v>
      </c>
    </row>
    <row r="394" spans="1:3" ht="18" customHeight="1" x14ac:dyDescent="0.25">
      <c r="A394" s="115" t="s">
        <v>461</v>
      </c>
      <c r="B394" s="115" t="s">
        <v>1235</v>
      </c>
      <c r="C394" s="118" t="s">
        <v>1234</v>
      </c>
    </row>
    <row r="395" spans="1:3" ht="18" customHeight="1" x14ac:dyDescent="0.25">
      <c r="A395" s="115" t="s">
        <v>461</v>
      </c>
      <c r="B395" s="115" t="s">
        <v>1237</v>
      </c>
      <c r="C395" s="118" t="s">
        <v>1236</v>
      </c>
    </row>
    <row r="396" spans="1:3" ht="18" customHeight="1" x14ac:dyDescent="0.25">
      <c r="A396" s="115" t="s">
        <v>461</v>
      </c>
      <c r="B396" s="115" t="s">
        <v>1239</v>
      </c>
      <c r="C396" s="118" t="s">
        <v>1238</v>
      </c>
    </row>
    <row r="397" spans="1:3" ht="18" customHeight="1" x14ac:dyDescent="0.25">
      <c r="A397" s="115" t="s">
        <v>461</v>
      </c>
      <c r="B397" s="115" t="s">
        <v>1241</v>
      </c>
      <c r="C397" s="118" t="s">
        <v>1240</v>
      </c>
    </row>
    <row r="398" spans="1:3" ht="18" customHeight="1" x14ac:dyDescent="0.25">
      <c r="A398" s="115" t="s">
        <v>461</v>
      </c>
      <c r="B398" s="115" t="s">
        <v>1243</v>
      </c>
      <c r="C398" s="118" t="s">
        <v>1242</v>
      </c>
    </row>
    <row r="399" spans="1:3" ht="18" customHeight="1" x14ac:dyDescent="0.25">
      <c r="A399" s="115" t="s">
        <v>461</v>
      </c>
      <c r="B399" s="115" t="s">
        <v>1245</v>
      </c>
      <c r="C399" s="115" t="s">
        <v>1244</v>
      </c>
    </row>
    <row r="400" spans="1:3" ht="18" customHeight="1" x14ac:dyDescent="0.25">
      <c r="A400" s="115" t="s">
        <v>461</v>
      </c>
      <c r="B400" s="115" t="s">
        <v>1247</v>
      </c>
      <c r="C400" s="118" t="s">
        <v>1246</v>
      </c>
    </row>
    <row r="401" spans="1:3" ht="18" customHeight="1" x14ac:dyDescent="0.25">
      <c r="A401" s="115" t="s">
        <v>461</v>
      </c>
      <c r="B401" s="115" t="s">
        <v>1249</v>
      </c>
      <c r="C401" s="118" t="s">
        <v>1248</v>
      </c>
    </row>
    <row r="402" spans="1:3" ht="18" customHeight="1" x14ac:dyDescent="0.25">
      <c r="A402" s="115" t="s">
        <v>461</v>
      </c>
      <c r="B402" s="115" t="s">
        <v>1251</v>
      </c>
      <c r="C402" s="118" t="s">
        <v>1250</v>
      </c>
    </row>
    <row r="403" spans="1:3" ht="18" customHeight="1" x14ac:dyDescent="0.25">
      <c r="A403" s="115" t="s">
        <v>461</v>
      </c>
      <c r="B403" s="115" t="s">
        <v>1253</v>
      </c>
      <c r="C403" s="118" t="s">
        <v>1252</v>
      </c>
    </row>
    <row r="404" spans="1:3" ht="18" customHeight="1" x14ac:dyDescent="0.25">
      <c r="A404" s="115" t="s">
        <v>461</v>
      </c>
      <c r="B404" s="115" t="s">
        <v>1255</v>
      </c>
      <c r="C404" s="118" t="s">
        <v>1254</v>
      </c>
    </row>
    <row r="405" spans="1:3" ht="18" customHeight="1" x14ac:dyDescent="0.25">
      <c r="A405" s="115" t="s">
        <v>461</v>
      </c>
      <c r="B405" s="115" t="s">
        <v>1257</v>
      </c>
      <c r="C405" s="118" t="s">
        <v>1256</v>
      </c>
    </row>
    <row r="406" spans="1:3" ht="18" customHeight="1" x14ac:dyDescent="0.25">
      <c r="A406" s="115" t="s">
        <v>461</v>
      </c>
      <c r="B406" s="115" t="s">
        <v>1273</v>
      </c>
      <c r="C406" s="118" t="s">
        <v>1827</v>
      </c>
    </row>
    <row r="407" spans="1:3" ht="18" customHeight="1" x14ac:dyDescent="0.25">
      <c r="A407" s="115" t="s">
        <v>461</v>
      </c>
      <c r="B407" s="115" t="s">
        <v>1275</v>
      </c>
      <c r="C407" s="118" t="s">
        <v>1274</v>
      </c>
    </row>
    <row r="408" spans="1:3" ht="18" customHeight="1" x14ac:dyDescent="0.25">
      <c r="A408" s="115" t="s">
        <v>461</v>
      </c>
      <c r="B408" s="115" t="s">
        <v>1513</v>
      </c>
      <c r="C408" s="118" t="s">
        <v>1512</v>
      </c>
    </row>
    <row r="409" spans="1:3" ht="18" customHeight="1" x14ac:dyDescent="0.25">
      <c r="A409" s="115" t="s">
        <v>461</v>
      </c>
      <c r="B409" s="115" t="s">
        <v>1523</v>
      </c>
      <c r="C409" s="115" t="s">
        <v>1522</v>
      </c>
    </row>
    <row r="410" spans="1:3" ht="18" customHeight="1" x14ac:dyDescent="0.25">
      <c r="A410" s="115" t="s">
        <v>461</v>
      </c>
      <c r="B410" s="115" t="s">
        <v>1525</v>
      </c>
      <c r="C410" s="118" t="s">
        <v>1524</v>
      </c>
    </row>
    <row r="411" spans="1:3" ht="18" customHeight="1" x14ac:dyDescent="0.25">
      <c r="A411" s="115" t="s">
        <v>461</v>
      </c>
      <c r="B411" s="115" t="s">
        <v>1527</v>
      </c>
      <c r="C411" s="118" t="s">
        <v>1526</v>
      </c>
    </row>
    <row r="412" spans="1:3" ht="18" customHeight="1" x14ac:dyDescent="0.25">
      <c r="A412" s="115" t="s">
        <v>461</v>
      </c>
      <c r="B412" s="115" t="s">
        <v>1529</v>
      </c>
      <c r="C412" s="118" t="s">
        <v>1528</v>
      </c>
    </row>
    <row r="413" spans="1:3" ht="18" customHeight="1" x14ac:dyDescent="0.25">
      <c r="A413" s="115" t="s">
        <v>461</v>
      </c>
      <c r="B413" s="115" t="s">
        <v>1534</v>
      </c>
      <c r="C413" s="118" t="s">
        <v>1533</v>
      </c>
    </row>
    <row r="414" spans="1:3" ht="18" customHeight="1" x14ac:dyDescent="0.25">
      <c r="A414" s="115" t="s">
        <v>461</v>
      </c>
      <c r="B414" s="115" t="s">
        <v>1536</v>
      </c>
      <c r="C414" s="118" t="s">
        <v>1535</v>
      </c>
    </row>
    <row r="415" spans="1:3" ht="18" customHeight="1" x14ac:dyDescent="0.25">
      <c r="A415" s="115" t="s">
        <v>461</v>
      </c>
      <c r="B415" s="115" t="s">
        <v>1556</v>
      </c>
      <c r="C415" s="115" t="s">
        <v>1555</v>
      </c>
    </row>
    <row r="416" spans="1:3" ht="18" customHeight="1" x14ac:dyDescent="0.25">
      <c r="A416" s="115" t="s">
        <v>461</v>
      </c>
      <c r="B416" s="115" t="s">
        <v>1557</v>
      </c>
      <c r="C416" s="118" t="s">
        <v>1828</v>
      </c>
    </row>
    <row r="417" spans="1:3" ht="18" customHeight="1" x14ac:dyDescent="0.25">
      <c r="A417" s="115" t="s">
        <v>461</v>
      </c>
      <c r="B417" s="115" t="s">
        <v>1559</v>
      </c>
      <c r="C417" s="118" t="s">
        <v>1558</v>
      </c>
    </row>
    <row r="418" spans="1:3" ht="18" customHeight="1" x14ac:dyDescent="0.25">
      <c r="A418" s="115" t="s">
        <v>461</v>
      </c>
      <c r="B418" s="115" t="s">
        <v>1561</v>
      </c>
      <c r="C418" s="118" t="s">
        <v>1560</v>
      </c>
    </row>
    <row r="419" spans="1:3" ht="18" customHeight="1" x14ac:dyDescent="0.25">
      <c r="A419" s="115" t="s">
        <v>461</v>
      </c>
      <c r="B419" s="115" t="s">
        <v>1563</v>
      </c>
      <c r="C419" s="118" t="s">
        <v>1562</v>
      </c>
    </row>
    <row r="420" spans="1:3" ht="18" customHeight="1" x14ac:dyDescent="0.25">
      <c r="A420" s="115" t="s">
        <v>461</v>
      </c>
      <c r="B420" s="115" t="s">
        <v>1565</v>
      </c>
      <c r="C420" s="118" t="s">
        <v>1564</v>
      </c>
    </row>
    <row r="421" spans="1:3" ht="18" customHeight="1" x14ac:dyDescent="0.25">
      <c r="A421" s="115" t="s">
        <v>461</v>
      </c>
      <c r="B421" s="115" t="s">
        <v>1567</v>
      </c>
      <c r="C421" s="118" t="s">
        <v>1566</v>
      </c>
    </row>
    <row r="422" spans="1:3" ht="18" customHeight="1" x14ac:dyDescent="0.25">
      <c r="A422" s="115" t="s">
        <v>461</v>
      </c>
      <c r="B422" s="115" t="s">
        <v>1569</v>
      </c>
      <c r="C422" s="118" t="s">
        <v>1568</v>
      </c>
    </row>
    <row r="423" spans="1:3" ht="18" customHeight="1" x14ac:dyDescent="0.25">
      <c r="A423" s="115" t="s">
        <v>461</v>
      </c>
      <c r="B423" s="115" t="s">
        <v>1571</v>
      </c>
      <c r="C423" s="118" t="s">
        <v>1570</v>
      </c>
    </row>
    <row r="424" spans="1:3" ht="18" customHeight="1" x14ac:dyDescent="0.25">
      <c r="A424" s="115" t="s">
        <v>461</v>
      </c>
      <c r="B424" s="115" t="s">
        <v>600</v>
      </c>
      <c r="C424" s="118" t="s">
        <v>1572</v>
      </c>
    </row>
    <row r="425" spans="1:3" ht="18" customHeight="1" x14ac:dyDescent="0.25">
      <c r="A425" s="115" t="s">
        <v>461</v>
      </c>
      <c r="B425" s="115" t="s">
        <v>1574</v>
      </c>
      <c r="C425" s="118" t="s">
        <v>1573</v>
      </c>
    </row>
    <row r="426" spans="1:3" ht="18" customHeight="1" x14ac:dyDescent="0.25">
      <c r="A426" s="115" t="s">
        <v>461</v>
      </c>
      <c r="B426" s="115" t="s">
        <v>1575</v>
      </c>
      <c r="C426" s="118" t="s">
        <v>1829</v>
      </c>
    </row>
    <row r="427" spans="1:3" ht="18" customHeight="1" x14ac:dyDescent="0.25">
      <c r="A427" s="115" t="s">
        <v>461</v>
      </c>
      <c r="B427" s="115" t="s">
        <v>1577</v>
      </c>
      <c r="C427" s="118" t="s">
        <v>1576</v>
      </c>
    </row>
    <row r="428" spans="1:3" ht="18" customHeight="1" x14ac:dyDescent="0.25">
      <c r="A428" s="115" t="s">
        <v>461</v>
      </c>
      <c r="B428" s="115" t="s">
        <v>1579</v>
      </c>
      <c r="C428" s="118" t="s">
        <v>1578</v>
      </c>
    </row>
    <row r="429" spans="1:3" ht="18" customHeight="1" x14ac:dyDescent="0.25">
      <c r="A429" s="115" t="s">
        <v>461</v>
      </c>
      <c r="B429" s="115" t="s">
        <v>1581</v>
      </c>
      <c r="C429" s="118" t="s">
        <v>1580</v>
      </c>
    </row>
    <row r="430" spans="1:3" ht="18" customHeight="1" x14ac:dyDescent="0.25">
      <c r="A430" s="115" t="s">
        <v>461</v>
      </c>
      <c r="B430" s="115" t="s">
        <v>1583</v>
      </c>
      <c r="C430" s="118" t="s">
        <v>1582</v>
      </c>
    </row>
    <row r="431" spans="1:3" ht="18" customHeight="1" x14ac:dyDescent="0.25">
      <c r="A431" s="115" t="s">
        <v>461</v>
      </c>
      <c r="B431" s="115" t="s">
        <v>1585</v>
      </c>
      <c r="C431" s="118" t="s">
        <v>1584</v>
      </c>
    </row>
    <row r="432" spans="1:3" ht="18" customHeight="1" x14ac:dyDescent="0.25">
      <c r="A432" s="115" t="s">
        <v>461</v>
      </c>
      <c r="B432" s="115" t="s">
        <v>1591</v>
      </c>
      <c r="C432" s="118" t="s">
        <v>1590</v>
      </c>
    </row>
    <row r="433" spans="1:3" ht="18" customHeight="1" x14ac:dyDescent="0.25">
      <c r="A433" s="115" t="s">
        <v>461</v>
      </c>
      <c r="B433" s="115" t="s">
        <v>1593</v>
      </c>
      <c r="C433" s="118" t="s">
        <v>1592</v>
      </c>
    </row>
    <row r="434" spans="1:3" ht="18" customHeight="1" x14ac:dyDescent="0.25">
      <c r="A434" s="115" t="s">
        <v>461</v>
      </c>
      <c r="B434" s="115" t="s">
        <v>1595</v>
      </c>
      <c r="C434" s="118" t="s">
        <v>1594</v>
      </c>
    </row>
    <row r="435" spans="1:3" ht="18" customHeight="1" x14ac:dyDescent="0.25">
      <c r="A435" s="115" t="s">
        <v>461</v>
      </c>
      <c r="B435" s="115" t="s">
        <v>1597</v>
      </c>
      <c r="C435" s="118" t="s">
        <v>1596</v>
      </c>
    </row>
    <row r="436" spans="1:3" ht="18" customHeight="1" x14ac:dyDescent="0.25">
      <c r="A436" s="115" t="s">
        <v>461</v>
      </c>
      <c r="B436" s="115" t="s">
        <v>1599</v>
      </c>
      <c r="C436" s="118" t="s">
        <v>1598</v>
      </c>
    </row>
    <row r="437" spans="1:3" ht="18" customHeight="1" x14ac:dyDescent="0.25">
      <c r="A437" s="115" t="s">
        <v>461</v>
      </c>
      <c r="B437" s="115" t="s">
        <v>1601</v>
      </c>
      <c r="C437" s="118" t="s">
        <v>1600</v>
      </c>
    </row>
    <row r="438" spans="1:3" ht="18" customHeight="1" x14ac:dyDescent="0.25">
      <c r="A438" s="115" t="s">
        <v>461</v>
      </c>
      <c r="B438" s="115" t="s">
        <v>1603</v>
      </c>
      <c r="C438" s="118" t="s">
        <v>1602</v>
      </c>
    </row>
    <row r="439" spans="1:3" ht="18" customHeight="1" x14ac:dyDescent="0.25">
      <c r="A439" s="115" t="s">
        <v>461</v>
      </c>
      <c r="B439" s="115" t="s">
        <v>1605</v>
      </c>
      <c r="C439" s="118" t="s">
        <v>1604</v>
      </c>
    </row>
    <row r="440" spans="1:3" ht="18" customHeight="1" x14ac:dyDescent="0.25">
      <c r="A440" s="115" t="s">
        <v>461</v>
      </c>
      <c r="B440" s="115" t="s">
        <v>1607</v>
      </c>
      <c r="C440" s="115" t="s">
        <v>1606</v>
      </c>
    </row>
    <row r="441" spans="1:3" ht="18" customHeight="1" x14ac:dyDescent="0.25">
      <c r="A441" s="115" t="s">
        <v>461</v>
      </c>
      <c r="B441" s="115" t="s">
        <v>1609</v>
      </c>
      <c r="C441" s="118" t="s">
        <v>1608</v>
      </c>
    </row>
    <row r="442" spans="1:3" ht="18" customHeight="1" x14ac:dyDescent="0.25">
      <c r="A442" s="115" t="s">
        <v>461</v>
      </c>
      <c r="B442" s="115" t="s">
        <v>1611</v>
      </c>
      <c r="C442" s="118" t="s">
        <v>1610</v>
      </c>
    </row>
    <row r="443" spans="1:3" ht="18" customHeight="1" x14ac:dyDescent="0.25">
      <c r="A443" s="115" t="s">
        <v>461</v>
      </c>
      <c r="B443" s="115" t="s">
        <v>1613</v>
      </c>
      <c r="C443" s="118" t="s">
        <v>1612</v>
      </c>
    </row>
    <row r="444" spans="1:3" ht="18" customHeight="1" x14ac:dyDescent="0.25">
      <c r="A444" s="115" t="s">
        <v>461</v>
      </c>
      <c r="B444" s="115" t="s">
        <v>1646</v>
      </c>
      <c r="C444" s="118" t="s">
        <v>1645</v>
      </c>
    </row>
    <row r="445" spans="1:3" ht="18" customHeight="1" x14ac:dyDescent="0.25">
      <c r="A445" s="115" t="s">
        <v>461</v>
      </c>
      <c r="B445" s="115" t="s">
        <v>1648</v>
      </c>
      <c r="C445" s="118" t="s">
        <v>1647</v>
      </c>
    </row>
    <row r="446" spans="1:3" ht="18" customHeight="1" x14ac:dyDescent="0.25">
      <c r="A446" s="115" t="s">
        <v>461</v>
      </c>
      <c r="B446" s="115" t="s">
        <v>1650</v>
      </c>
      <c r="C446" s="118" t="s">
        <v>1649</v>
      </c>
    </row>
    <row r="447" spans="1:3" ht="18" customHeight="1" x14ac:dyDescent="0.25">
      <c r="A447" s="115" t="s">
        <v>461</v>
      </c>
      <c r="B447" s="115" t="s">
        <v>1652</v>
      </c>
      <c r="C447" s="118" t="s">
        <v>1651</v>
      </c>
    </row>
    <row r="448" spans="1:3" ht="18" customHeight="1" x14ac:dyDescent="0.25">
      <c r="A448" s="115" t="s">
        <v>461</v>
      </c>
      <c r="B448" s="115" t="s">
        <v>1661</v>
      </c>
      <c r="C448" s="118" t="s">
        <v>1660</v>
      </c>
    </row>
    <row r="449" spans="1:3" ht="18" customHeight="1" x14ac:dyDescent="0.25">
      <c r="A449" s="115" t="s">
        <v>461</v>
      </c>
      <c r="B449" s="115" t="s">
        <v>1663</v>
      </c>
      <c r="C449" s="118" t="s">
        <v>1662</v>
      </c>
    </row>
    <row r="450" spans="1:3" ht="18" customHeight="1" x14ac:dyDescent="0.25">
      <c r="A450" s="115" t="s">
        <v>461</v>
      </c>
      <c r="B450" s="115" t="s">
        <v>1665</v>
      </c>
      <c r="C450" s="118" t="s">
        <v>1664</v>
      </c>
    </row>
    <row r="451" spans="1:3" ht="18" customHeight="1" x14ac:dyDescent="0.25">
      <c r="A451" s="115" t="s">
        <v>461</v>
      </c>
      <c r="B451" s="115" t="s">
        <v>1667</v>
      </c>
      <c r="C451" s="118" t="s">
        <v>1666</v>
      </c>
    </row>
    <row r="452" spans="1:3" ht="18" customHeight="1" x14ac:dyDescent="0.25">
      <c r="A452" s="115" t="s">
        <v>461</v>
      </c>
      <c r="B452" s="115" t="s">
        <v>1669</v>
      </c>
      <c r="C452" s="118" t="s">
        <v>1668</v>
      </c>
    </row>
    <row r="453" spans="1:3" ht="18" customHeight="1" x14ac:dyDescent="0.25">
      <c r="A453" s="115" t="s">
        <v>461</v>
      </c>
      <c r="B453" s="115" t="s">
        <v>1709</v>
      </c>
      <c r="C453" s="118" t="s">
        <v>1708</v>
      </c>
    </row>
    <row r="454" spans="1:3" ht="18" customHeight="1" x14ac:dyDescent="0.25">
      <c r="A454" s="115" t="s">
        <v>461</v>
      </c>
      <c r="B454" s="115" t="s">
        <v>1788</v>
      </c>
      <c r="C454" s="118" t="s">
        <v>1830</v>
      </c>
    </row>
    <row r="455" spans="1:3" ht="18" customHeight="1" x14ac:dyDescent="0.25">
      <c r="A455" s="115" t="s">
        <v>461</v>
      </c>
      <c r="B455" s="115" t="s">
        <v>1790</v>
      </c>
      <c r="C455" s="118" t="s">
        <v>1789</v>
      </c>
    </row>
    <row r="456" spans="1:3" ht="18" customHeight="1" x14ac:dyDescent="0.25">
      <c r="A456" s="115" t="s">
        <v>1095</v>
      </c>
      <c r="B456" s="115" t="s">
        <v>1094</v>
      </c>
      <c r="C456" s="118" t="s">
        <v>1093</v>
      </c>
    </row>
    <row r="457" spans="1:3" ht="18" customHeight="1" x14ac:dyDescent="0.25">
      <c r="A457" s="115" t="s">
        <v>436</v>
      </c>
      <c r="B457" s="115" t="s">
        <v>1720</v>
      </c>
      <c r="C457" s="118" t="s">
        <v>1719</v>
      </c>
    </row>
    <row r="458" spans="1:3" ht="18" customHeight="1" x14ac:dyDescent="0.25">
      <c r="A458" s="115" t="s">
        <v>436</v>
      </c>
      <c r="B458" s="115" t="s">
        <v>1722</v>
      </c>
      <c r="C458" s="115" t="s">
        <v>1721</v>
      </c>
    </row>
    <row r="459" spans="1:3" ht="18" customHeight="1" x14ac:dyDescent="0.25">
      <c r="A459" s="115" t="s">
        <v>436</v>
      </c>
      <c r="B459" s="115" t="s">
        <v>1724</v>
      </c>
      <c r="C459" s="118" t="s">
        <v>1723</v>
      </c>
    </row>
    <row r="460" spans="1:3" ht="18" customHeight="1" x14ac:dyDescent="0.25">
      <c r="A460" s="115" t="s">
        <v>436</v>
      </c>
      <c r="B460" s="115" t="s">
        <v>1726</v>
      </c>
      <c r="C460" s="118" t="s">
        <v>1725</v>
      </c>
    </row>
    <row r="461" spans="1:3" ht="18" customHeight="1" x14ac:dyDescent="0.25">
      <c r="A461" s="115" t="s">
        <v>436</v>
      </c>
      <c r="B461" s="115" t="s">
        <v>1728</v>
      </c>
      <c r="C461" s="118" t="s">
        <v>1727</v>
      </c>
    </row>
    <row r="462" spans="1:3" ht="18" customHeight="1" x14ac:dyDescent="0.25">
      <c r="A462" s="115" t="s">
        <v>436</v>
      </c>
      <c r="B462" s="115" t="s">
        <v>1730</v>
      </c>
      <c r="C462" s="118" t="s">
        <v>1729</v>
      </c>
    </row>
    <row r="463" spans="1:3" ht="18" customHeight="1" x14ac:dyDescent="0.25">
      <c r="A463" s="115" t="s">
        <v>436</v>
      </c>
      <c r="B463" s="115" t="s">
        <v>1732</v>
      </c>
      <c r="C463" s="118" t="s">
        <v>1731</v>
      </c>
    </row>
    <row r="464" spans="1:3" ht="18" customHeight="1" x14ac:dyDescent="0.25">
      <c r="A464" s="115" t="s">
        <v>436</v>
      </c>
      <c r="B464" s="115" t="s">
        <v>1734</v>
      </c>
      <c r="C464" s="118" t="s">
        <v>1733</v>
      </c>
    </row>
    <row r="465" spans="1:3" ht="18" customHeight="1" x14ac:dyDescent="0.25">
      <c r="A465" s="115" t="s">
        <v>436</v>
      </c>
      <c r="B465" s="115" t="s">
        <v>1736</v>
      </c>
      <c r="C465" s="118" t="s">
        <v>1735</v>
      </c>
    </row>
    <row r="466" spans="1:3" ht="18" customHeight="1" x14ac:dyDescent="0.25">
      <c r="A466" s="115" t="s">
        <v>436</v>
      </c>
      <c r="B466" s="115" t="s">
        <v>1751</v>
      </c>
      <c r="C466" s="118" t="s">
        <v>1750</v>
      </c>
    </row>
    <row r="467" spans="1:3" ht="18" customHeight="1" x14ac:dyDescent="0.25">
      <c r="A467" s="115" t="s">
        <v>436</v>
      </c>
      <c r="B467" s="115" t="s">
        <v>1753</v>
      </c>
      <c r="C467" s="118" t="s">
        <v>1752</v>
      </c>
    </row>
    <row r="468" spans="1:3" ht="18" customHeight="1" x14ac:dyDescent="0.25">
      <c r="A468" s="115" t="s">
        <v>436</v>
      </c>
      <c r="B468" s="115" t="s">
        <v>1755</v>
      </c>
      <c r="C468" s="118" t="s">
        <v>1754</v>
      </c>
    </row>
    <row r="469" spans="1:3" ht="18" customHeight="1" x14ac:dyDescent="0.25">
      <c r="A469" s="115" t="s">
        <v>436</v>
      </c>
      <c r="B469" s="115" t="s">
        <v>1757</v>
      </c>
      <c r="C469" s="118" t="s">
        <v>1756</v>
      </c>
    </row>
    <row r="470" spans="1:3" ht="18" customHeight="1" x14ac:dyDescent="0.25">
      <c r="A470" s="115" t="s">
        <v>436</v>
      </c>
      <c r="B470" s="115" t="s">
        <v>1759</v>
      </c>
      <c r="C470" s="118" t="s">
        <v>1758</v>
      </c>
    </row>
    <row r="471" spans="1:3" ht="18" customHeight="1" x14ac:dyDescent="0.25">
      <c r="A471" s="115" t="s">
        <v>436</v>
      </c>
      <c r="B471" s="115" t="s">
        <v>1761</v>
      </c>
      <c r="C471" s="118" t="s">
        <v>1760</v>
      </c>
    </row>
    <row r="472" spans="1:3" ht="18" customHeight="1" x14ac:dyDescent="0.25">
      <c r="A472" s="115" t="s">
        <v>436</v>
      </c>
      <c r="B472" s="115" t="s">
        <v>1763</v>
      </c>
      <c r="C472" s="118" t="s">
        <v>1762</v>
      </c>
    </row>
    <row r="473" spans="1:3" ht="18" customHeight="1" x14ac:dyDescent="0.25">
      <c r="A473" s="115" t="s">
        <v>436</v>
      </c>
      <c r="B473" s="115" t="s">
        <v>1765</v>
      </c>
      <c r="C473" s="118" t="s">
        <v>1764</v>
      </c>
    </row>
    <row r="474" spans="1:3" ht="18" customHeight="1" x14ac:dyDescent="0.25">
      <c r="A474" s="115" t="s">
        <v>436</v>
      </c>
      <c r="B474" s="115" t="s">
        <v>1767</v>
      </c>
      <c r="C474" s="118" t="s">
        <v>1766</v>
      </c>
    </row>
    <row r="475" spans="1:3" ht="18" customHeight="1" x14ac:dyDescent="0.25">
      <c r="A475" s="115" t="s">
        <v>436</v>
      </c>
      <c r="B475" s="115" t="s">
        <v>1769</v>
      </c>
      <c r="C475" s="118" t="s">
        <v>1768</v>
      </c>
    </row>
    <row r="476" spans="1:3" ht="18" customHeight="1" x14ac:dyDescent="0.25">
      <c r="A476" s="115" t="s">
        <v>436</v>
      </c>
      <c r="B476" s="115" t="s">
        <v>1771</v>
      </c>
      <c r="C476" s="118" t="s">
        <v>1770</v>
      </c>
    </row>
    <row r="477" spans="1:3" ht="18" customHeight="1" x14ac:dyDescent="0.25">
      <c r="A477" s="115" t="s">
        <v>436</v>
      </c>
      <c r="B477" s="115" t="s">
        <v>1773</v>
      </c>
      <c r="C477" s="118" t="s">
        <v>1772</v>
      </c>
    </row>
    <row r="478" spans="1:3" ht="18" customHeight="1" x14ac:dyDescent="0.25">
      <c r="A478" s="115" t="s">
        <v>436</v>
      </c>
      <c r="B478" s="115" t="s">
        <v>1777</v>
      </c>
      <c r="C478" s="118" t="s">
        <v>1776</v>
      </c>
    </row>
    <row r="479" spans="1:3" ht="18" customHeight="1" x14ac:dyDescent="0.25">
      <c r="A479" s="115" t="s">
        <v>436</v>
      </c>
      <c r="B479" s="115" t="s">
        <v>1779</v>
      </c>
      <c r="C479" s="115" t="s">
        <v>1778</v>
      </c>
    </row>
    <row r="480" spans="1:3" ht="18" customHeight="1" x14ac:dyDescent="0.25">
      <c r="A480" s="115" t="s">
        <v>436</v>
      </c>
      <c r="B480" s="115" t="s">
        <v>1781</v>
      </c>
      <c r="C480" s="118" t="s">
        <v>1780</v>
      </c>
    </row>
    <row r="481" spans="1:3" ht="18" customHeight="1" x14ac:dyDescent="0.25">
      <c r="A481" s="115" t="s">
        <v>436</v>
      </c>
      <c r="B481" s="115" t="s">
        <v>1783</v>
      </c>
      <c r="C481" s="118" t="s">
        <v>1782</v>
      </c>
    </row>
    <row r="482" spans="1:3" ht="18" customHeight="1" x14ac:dyDescent="0.25">
      <c r="A482" s="115" t="s">
        <v>436</v>
      </c>
      <c r="B482" s="115" t="s">
        <v>1785</v>
      </c>
      <c r="C482" s="118" t="s">
        <v>1784</v>
      </c>
    </row>
    <row r="483" spans="1:3" ht="18" customHeight="1" x14ac:dyDescent="0.25">
      <c r="A483" s="115" t="s">
        <v>436</v>
      </c>
      <c r="B483" s="115" t="s">
        <v>1787</v>
      </c>
      <c r="C483" s="118" t="s">
        <v>1786</v>
      </c>
    </row>
    <row r="484" spans="1:3" ht="18" customHeight="1" x14ac:dyDescent="0.25">
      <c r="A484" s="115" t="s">
        <v>456</v>
      </c>
      <c r="B484" s="115" t="s">
        <v>537</v>
      </c>
      <c r="C484" s="118" t="s">
        <v>905</v>
      </c>
    </row>
    <row r="485" spans="1:3" ht="18" customHeight="1" x14ac:dyDescent="0.25">
      <c r="A485" s="115" t="s">
        <v>456</v>
      </c>
      <c r="B485" s="115" t="s">
        <v>986</v>
      </c>
      <c r="C485" s="118" t="s">
        <v>985</v>
      </c>
    </row>
    <row r="486" spans="1:3" ht="18" customHeight="1" x14ac:dyDescent="0.25">
      <c r="A486" s="115" t="s">
        <v>456</v>
      </c>
      <c r="B486" s="115" t="s">
        <v>988</v>
      </c>
      <c r="C486" s="118" t="s">
        <v>987</v>
      </c>
    </row>
    <row r="487" spans="1:3" ht="18" customHeight="1" x14ac:dyDescent="0.25">
      <c r="A487" s="115" t="s">
        <v>456</v>
      </c>
      <c r="B487" s="115" t="s">
        <v>1134</v>
      </c>
      <c r="C487" s="115" t="s">
        <v>1133</v>
      </c>
    </row>
    <row r="488" spans="1:3" ht="18" customHeight="1" x14ac:dyDescent="0.25">
      <c r="A488" s="115" t="s">
        <v>456</v>
      </c>
      <c r="B488" s="115" t="s">
        <v>1136</v>
      </c>
      <c r="C488" s="118" t="s">
        <v>1135</v>
      </c>
    </row>
    <row r="489" spans="1:3" ht="18" customHeight="1" x14ac:dyDescent="0.25">
      <c r="A489" s="115" t="s">
        <v>456</v>
      </c>
      <c r="B489" s="115" t="s">
        <v>1138</v>
      </c>
      <c r="C489" s="118" t="s">
        <v>1137</v>
      </c>
    </row>
    <row r="490" spans="1:3" ht="18" customHeight="1" x14ac:dyDescent="0.25">
      <c r="A490" s="115" t="s">
        <v>456</v>
      </c>
      <c r="B490" s="115" t="s">
        <v>1140</v>
      </c>
      <c r="C490" s="118" t="s">
        <v>1139</v>
      </c>
    </row>
    <row r="491" spans="1:3" ht="18" customHeight="1" x14ac:dyDescent="0.25">
      <c r="A491" s="115" t="s">
        <v>456</v>
      </c>
      <c r="B491" s="115" t="s">
        <v>1142</v>
      </c>
      <c r="C491" s="118" t="s">
        <v>1141</v>
      </c>
    </row>
    <row r="492" spans="1:3" ht="18" customHeight="1" x14ac:dyDescent="0.25">
      <c r="A492" s="115" t="s">
        <v>456</v>
      </c>
      <c r="B492" s="115" t="s">
        <v>1144</v>
      </c>
      <c r="C492" s="115" t="s">
        <v>1143</v>
      </c>
    </row>
    <row r="493" spans="1:3" ht="18" customHeight="1" x14ac:dyDescent="0.25">
      <c r="A493" s="115" t="s">
        <v>456</v>
      </c>
      <c r="B493" s="115" t="s">
        <v>1146</v>
      </c>
      <c r="C493" s="118" t="s">
        <v>1145</v>
      </c>
    </row>
    <row r="494" spans="1:3" ht="18" customHeight="1" x14ac:dyDescent="0.25">
      <c r="A494" s="115" t="s">
        <v>456</v>
      </c>
      <c r="B494" s="115" t="s">
        <v>1147</v>
      </c>
      <c r="C494" s="118" t="s">
        <v>1832</v>
      </c>
    </row>
    <row r="495" spans="1:3" ht="18" customHeight="1" x14ac:dyDescent="0.25">
      <c r="A495" s="115" t="s">
        <v>456</v>
      </c>
      <c r="B495" s="115" t="s">
        <v>1149</v>
      </c>
      <c r="C495" s="118" t="s">
        <v>1148</v>
      </c>
    </row>
    <row r="496" spans="1:3" ht="18" customHeight="1" x14ac:dyDescent="0.25">
      <c r="A496" s="115" t="s">
        <v>456</v>
      </c>
      <c r="B496" s="115" t="s">
        <v>1151</v>
      </c>
      <c r="C496" s="118" t="s">
        <v>1150</v>
      </c>
    </row>
    <row r="497" spans="1:3" ht="18" customHeight="1" x14ac:dyDescent="0.25">
      <c r="A497" s="115" t="s">
        <v>456</v>
      </c>
      <c r="B497" s="115" t="s">
        <v>1153</v>
      </c>
      <c r="C497" s="118" t="s">
        <v>1152</v>
      </c>
    </row>
    <row r="498" spans="1:3" ht="18" customHeight="1" x14ac:dyDescent="0.25">
      <c r="A498" s="115" t="s">
        <v>456</v>
      </c>
      <c r="B498" s="115" t="s">
        <v>1377</v>
      </c>
      <c r="C498" s="118" t="s">
        <v>1376</v>
      </c>
    </row>
    <row r="499" spans="1:3" ht="18" customHeight="1" x14ac:dyDescent="0.25">
      <c r="A499" s="115" t="s">
        <v>456</v>
      </c>
      <c r="B499" s="115" t="s">
        <v>1388</v>
      </c>
      <c r="C499" s="118" t="s">
        <v>1387</v>
      </c>
    </row>
    <row r="500" spans="1:3" ht="18" customHeight="1" x14ac:dyDescent="0.25">
      <c r="A500" s="115" t="s">
        <v>456</v>
      </c>
      <c r="B500" s="115" t="s">
        <v>1398</v>
      </c>
      <c r="C500" s="118" t="s">
        <v>1397</v>
      </c>
    </row>
    <row r="501" spans="1:3" ht="18" customHeight="1" x14ac:dyDescent="0.25">
      <c r="A501" s="115" t="s">
        <v>456</v>
      </c>
      <c r="B501" s="115" t="s">
        <v>1421</v>
      </c>
      <c r="C501" s="118" t="s">
        <v>1420</v>
      </c>
    </row>
    <row r="502" spans="1:3" ht="18" customHeight="1" x14ac:dyDescent="0.25">
      <c r="A502" s="115" t="s">
        <v>456</v>
      </c>
      <c r="B502" s="115" t="s">
        <v>1423</v>
      </c>
      <c r="C502" s="118" t="s">
        <v>1422</v>
      </c>
    </row>
    <row r="503" spans="1:3" ht="18" customHeight="1" x14ac:dyDescent="0.25">
      <c r="A503" s="115" t="s">
        <v>456</v>
      </c>
      <c r="B503" s="115" t="s">
        <v>1618</v>
      </c>
      <c r="C503" s="118" t="s">
        <v>1617</v>
      </c>
    </row>
    <row r="504" spans="1:3" ht="18" customHeight="1" x14ac:dyDescent="0.25">
      <c r="A504" s="115" t="s">
        <v>456</v>
      </c>
      <c r="B504" s="115" t="s">
        <v>1707</v>
      </c>
      <c r="C504" s="118" t="s">
        <v>1706</v>
      </c>
    </row>
    <row r="505" spans="1:3" ht="18" customHeight="1" x14ac:dyDescent="0.25">
      <c r="A505" s="115" t="s">
        <v>427</v>
      </c>
      <c r="B505" s="115" t="s">
        <v>1272</v>
      </c>
      <c r="C505" s="115" t="s">
        <v>1271</v>
      </c>
    </row>
    <row r="506" spans="1:3" ht="18" customHeight="1" x14ac:dyDescent="0.25">
      <c r="A506" s="115" t="s">
        <v>427</v>
      </c>
      <c r="B506" s="115" t="s">
        <v>1276</v>
      </c>
      <c r="C506" s="118" t="s">
        <v>1831</v>
      </c>
    </row>
    <row r="507" spans="1:3" ht="18" customHeight="1" x14ac:dyDescent="0.25">
      <c r="A507" s="115" t="s">
        <v>427</v>
      </c>
      <c r="B507" s="115" t="s">
        <v>1278</v>
      </c>
      <c r="C507" s="118" t="s">
        <v>1277</v>
      </c>
    </row>
    <row r="508" spans="1:3" ht="18" customHeight="1" x14ac:dyDescent="0.25">
      <c r="A508" s="115" t="s">
        <v>427</v>
      </c>
      <c r="B508" s="115" t="s">
        <v>1280</v>
      </c>
      <c r="C508" s="118" t="s">
        <v>1279</v>
      </c>
    </row>
    <row r="509" spans="1:3" ht="18" customHeight="1" x14ac:dyDescent="0.25">
      <c r="A509" s="115" t="s">
        <v>427</v>
      </c>
      <c r="B509" s="115" t="s">
        <v>1282</v>
      </c>
      <c r="C509" s="118" t="s">
        <v>1281</v>
      </c>
    </row>
    <row r="510" spans="1:3" ht="18" customHeight="1" x14ac:dyDescent="0.25">
      <c r="A510" s="115" t="s">
        <v>427</v>
      </c>
      <c r="B510" s="115" t="s">
        <v>1283</v>
      </c>
      <c r="C510" s="118" t="s">
        <v>1833</v>
      </c>
    </row>
    <row r="511" spans="1:3" ht="18" customHeight="1" x14ac:dyDescent="0.25">
      <c r="A511" s="115" t="s">
        <v>427</v>
      </c>
      <c r="B511" s="115" t="s">
        <v>1285</v>
      </c>
      <c r="C511" s="118" t="s">
        <v>1284</v>
      </c>
    </row>
    <row r="512" spans="1:3" ht="18" customHeight="1" x14ac:dyDescent="0.25">
      <c r="A512" s="115" t="s">
        <v>427</v>
      </c>
      <c r="B512" s="115" t="s">
        <v>1287</v>
      </c>
      <c r="C512" s="118" t="s">
        <v>1286</v>
      </c>
    </row>
    <row r="513" spans="1:3" ht="18" customHeight="1" x14ac:dyDescent="0.25">
      <c r="A513" s="115" t="s">
        <v>427</v>
      </c>
      <c r="B513" s="115" t="s">
        <v>1289</v>
      </c>
      <c r="C513" s="118" t="s">
        <v>1288</v>
      </c>
    </row>
    <row r="514" spans="1:3" ht="18" customHeight="1" x14ac:dyDescent="0.25">
      <c r="A514" s="115" t="s">
        <v>427</v>
      </c>
      <c r="B514" s="115" t="s">
        <v>1291</v>
      </c>
      <c r="C514" s="118" t="s">
        <v>1290</v>
      </c>
    </row>
    <row r="515" spans="1:3" ht="18" customHeight="1" x14ac:dyDescent="0.25">
      <c r="A515" s="115" t="s">
        <v>427</v>
      </c>
      <c r="B515" s="115" t="s">
        <v>1293</v>
      </c>
      <c r="C515" s="118" t="s">
        <v>1292</v>
      </c>
    </row>
    <row r="516" spans="1:3" ht="18" customHeight="1" x14ac:dyDescent="0.25">
      <c r="A516" s="115" t="s">
        <v>427</v>
      </c>
      <c r="B516" s="115" t="s">
        <v>1295</v>
      </c>
      <c r="C516" s="118" t="s">
        <v>1294</v>
      </c>
    </row>
    <row r="517" spans="1:3" ht="18" customHeight="1" x14ac:dyDescent="0.25">
      <c r="A517" s="115" t="s">
        <v>427</v>
      </c>
      <c r="B517" s="115" t="s">
        <v>1297</v>
      </c>
      <c r="C517" s="118" t="s">
        <v>1296</v>
      </c>
    </row>
    <row r="518" spans="1:3" ht="18" customHeight="1" x14ac:dyDescent="0.25">
      <c r="A518" s="115" t="s">
        <v>427</v>
      </c>
      <c r="B518" s="115" t="s">
        <v>1299</v>
      </c>
      <c r="C518" s="118" t="s">
        <v>1298</v>
      </c>
    </row>
    <row r="519" spans="1:3" ht="18" customHeight="1" x14ac:dyDescent="0.25">
      <c r="A519" s="115" t="s">
        <v>427</v>
      </c>
      <c r="B519" s="115" t="s">
        <v>1301</v>
      </c>
      <c r="C519" s="118" t="s">
        <v>1300</v>
      </c>
    </row>
    <row r="520" spans="1:3" ht="18" customHeight="1" x14ac:dyDescent="0.25">
      <c r="A520" s="115" t="s">
        <v>427</v>
      </c>
      <c r="B520" s="115" t="s">
        <v>1303</v>
      </c>
      <c r="C520" s="118" t="s">
        <v>1302</v>
      </c>
    </row>
    <row r="521" spans="1:3" ht="18" customHeight="1" x14ac:dyDescent="0.25">
      <c r="A521" s="115" t="s">
        <v>427</v>
      </c>
      <c r="B521" s="115" t="s">
        <v>1304</v>
      </c>
      <c r="C521" s="118" t="s">
        <v>1834</v>
      </c>
    </row>
    <row r="522" spans="1:3" ht="18" customHeight="1" x14ac:dyDescent="0.25">
      <c r="A522" s="115" t="s">
        <v>427</v>
      </c>
      <c r="B522" s="115" t="s">
        <v>1306</v>
      </c>
      <c r="C522" s="118" t="s">
        <v>1305</v>
      </c>
    </row>
    <row r="523" spans="1:3" ht="18" customHeight="1" x14ac:dyDescent="0.25">
      <c r="A523" s="115" t="s">
        <v>427</v>
      </c>
      <c r="B523" s="115" t="s">
        <v>1308</v>
      </c>
      <c r="C523" s="118" t="s">
        <v>1307</v>
      </c>
    </row>
    <row r="524" spans="1:3" ht="18" customHeight="1" x14ac:dyDescent="0.25">
      <c r="A524" s="115" t="s">
        <v>427</v>
      </c>
      <c r="B524" s="115" t="s">
        <v>1310</v>
      </c>
      <c r="C524" s="118" t="s">
        <v>1309</v>
      </c>
    </row>
    <row r="525" spans="1:3" ht="18" customHeight="1" x14ac:dyDescent="0.25">
      <c r="A525" s="115" t="s">
        <v>427</v>
      </c>
      <c r="B525" s="115" t="s">
        <v>561</v>
      </c>
      <c r="C525" s="118" t="s">
        <v>1311</v>
      </c>
    </row>
    <row r="526" spans="1:3" ht="18" customHeight="1" x14ac:dyDescent="0.25">
      <c r="A526" s="115" t="s">
        <v>427</v>
      </c>
      <c r="B526" s="115" t="s">
        <v>1313</v>
      </c>
      <c r="C526" s="118" t="s">
        <v>1312</v>
      </c>
    </row>
    <row r="527" spans="1:3" ht="18" customHeight="1" x14ac:dyDescent="0.25">
      <c r="A527" s="115" t="s">
        <v>427</v>
      </c>
      <c r="B527" s="115" t="s">
        <v>1315</v>
      </c>
      <c r="C527" s="118" t="s">
        <v>1314</v>
      </c>
    </row>
    <row r="528" spans="1:3" ht="18" customHeight="1" x14ac:dyDescent="0.25">
      <c r="A528" s="115" t="s">
        <v>427</v>
      </c>
      <c r="B528" s="115" t="s">
        <v>1317</v>
      </c>
      <c r="C528" s="118" t="s">
        <v>1316</v>
      </c>
    </row>
    <row r="529" spans="1:3" ht="18" customHeight="1" x14ac:dyDescent="0.25">
      <c r="A529" s="115" t="s">
        <v>427</v>
      </c>
      <c r="B529" s="115" t="s">
        <v>1323</v>
      </c>
      <c r="C529" s="118" t="s">
        <v>1322</v>
      </c>
    </row>
    <row r="530" spans="1:3" ht="18" customHeight="1" x14ac:dyDescent="0.25">
      <c r="A530" s="115" t="s">
        <v>427</v>
      </c>
      <c r="B530" s="115" t="s">
        <v>1356</v>
      </c>
      <c r="C530" s="118" t="s">
        <v>1355</v>
      </c>
    </row>
    <row r="531" spans="1:3" ht="18" customHeight="1" x14ac:dyDescent="0.25">
      <c r="A531" s="115" t="s">
        <v>427</v>
      </c>
      <c r="B531" s="115" t="s">
        <v>1436</v>
      </c>
      <c r="C531" s="115" t="s">
        <v>1435</v>
      </c>
    </row>
    <row r="532" spans="1:3" ht="18" customHeight="1" x14ac:dyDescent="0.25">
      <c r="A532" s="115" t="s">
        <v>427</v>
      </c>
      <c r="B532" s="115" t="s">
        <v>1437</v>
      </c>
      <c r="C532" s="118" t="s">
        <v>1835</v>
      </c>
    </row>
    <row r="533" spans="1:3" ht="18" customHeight="1" x14ac:dyDescent="0.25">
      <c r="A533" s="115" t="s">
        <v>427</v>
      </c>
      <c r="B533" s="115" t="s">
        <v>1439</v>
      </c>
      <c r="C533" s="118" t="s">
        <v>1438</v>
      </c>
    </row>
    <row r="534" spans="1:3" ht="18" customHeight="1" x14ac:dyDescent="0.25">
      <c r="A534" s="115" t="s">
        <v>427</v>
      </c>
      <c r="B534" s="115" t="s">
        <v>1441</v>
      </c>
      <c r="C534" s="118" t="s">
        <v>1440</v>
      </c>
    </row>
    <row r="535" spans="1:3" ht="18" customHeight="1" x14ac:dyDescent="0.25">
      <c r="A535" s="115" t="s">
        <v>427</v>
      </c>
      <c r="B535" s="115" t="s">
        <v>1443</v>
      </c>
      <c r="C535" s="118" t="s">
        <v>1442</v>
      </c>
    </row>
    <row r="536" spans="1:3" ht="18" customHeight="1" x14ac:dyDescent="0.25">
      <c r="A536" s="115" t="s">
        <v>427</v>
      </c>
      <c r="B536" s="115" t="s">
        <v>1445</v>
      </c>
      <c r="C536" s="118" t="s">
        <v>1444</v>
      </c>
    </row>
    <row r="537" spans="1:3" ht="18" customHeight="1" x14ac:dyDescent="0.25">
      <c r="A537" s="115" t="s">
        <v>427</v>
      </c>
      <c r="B537" s="115" t="s">
        <v>1447</v>
      </c>
      <c r="C537" s="118" t="s">
        <v>1446</v>
      </c>
    </row>
    <row r="538" spans="1:3" ht="18" customHeight="1" x14ac:dyDescent="0.25">
      <c r="A538" s="115" t="s">
        <v>427</v>
      </c>
      <c r="B538" s="115" t="s">
        <v>1449</v>
      </c>
      <c r="C538" s="118" t="s">
        <v>1448</v>
      </c>
    </row>
    <row r="539" spans="1:3" ht="18" customHeight="1" x14ac:dyDescent="0.25">
      <c r="A539" s="115" t="s">
        <v>427</v>
      </c>
      <c r="B539" s="115" t="s">
        <v>1451</v>
      </c>
      <c r="C539" s="118" t="s">
        <v>1450</v>
      </c>
    </row>
    <row r="540" spans="1:3" ht="18" customHeight="1" x14ac:dyDescent="0.25">
      <c r="A540" s="115" t="s">
        <v>427</v>
      </c>
      <c r="B540" s="115" t="s">
        <v>1453</v>
      </c>
      <c r="C540" s="118" t="s">
        <v>1452</v>
      </c>
    </row>
    <row r="541" spans="1:3" ht="18" customHeight="1" x14ac:dyDescent="0.25">
      <c r="A541" s="115" t="s">
        <v>427</v>
      </c>
      <c r="B541" s="115" t="s">
        <v>1455</v>
      </c>
      <c r="C541" s="118" t="s">
        <v>1454</v>
      </c>
    </row>
    <row r="542" spans="1:3" ht="18" customHeight="1" x14ac:dyDescent="0.25">
      <c r="A542" s="115" t="s">
        <v>427</v>
      </c>
      <c r="B542" s="115" t="s">
        <v>1457</v>
      </c>
      <c r="C542" s="118" t="s">
        <v>1456</v>
      </c>
    </row>
    <row r="543" spans="1:3" ht="18" customHeight="1" x14ac:dyDescent="0.25">
      <c r="A543" s="115" t="s">
        <v>427</v>
      </c>
      <c r="B543" s="115" t="s">
        <v>1459</v>
      </c>
      <c r="C543" s="118" t="s">
        <v>1458</v>
      </c>
    </row>
    <row r="544" spans="1:3" ht="18" customHeight="1" x14ac:dyDescent="0.25">
      <c r="A544" s="115" t="s">
        <v>427</v>
      </c>
      <c r="B544" s="115" t="s">
        <v>1461</v>
      </c>
      <c r="C544" s="118" t="s">
        <v>1460</v>
      </c>
    </row>
    <row r="545" spans="1:3" ht="18" customHeight="1" x14ac:dyDescent="0.25">
      <c r="A545" s="115" t="s">
        <v>427</v>
      </c>
      <c r="B545" s="115" t="s">
        <v>1463</v>
      </c>
      <c r="C545" s="118" t="s">
        <v>1462</v>
      </c>
    </row>
    <row r="546" spans="1:3" ht="18" customHeight="1" x14ac:dyDescent="0.25">
      <c r="A546" s="115" t="s">
        <v>427</v>
      </c>
      <c r="B546" s="115" t="s">
        <v>1465</v>
      </c>
      <c r="C546" s="118" t="s">
        <v>1464</v>
      </c>
    </row>
    <row r="547" spans="1:3" ht="18" customHeight="1" thickBot="1" x14ac:dyDescent="0.3">
      <c r="A547" s="116" t="s">
        <v>427</v>
      </c>
      <c r="B547" s="116" t="s">
        <v>611</v>
      </c>
      <c r="C547" s="119" t="s">
        <v>1466</v>
      </c>
    </row>
  </sheetData>
  <sortState ref="A4:C866">
    <sortCondition ref="A4:A866"/>
  </sortState>
  <mergeCells count="1">
    <mergeCell ref="A1:C1"/>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activeCell="E25" sqref="E25"/>
    </sheetView>
  </sheetViews>
  <sheetFormatPr defaultColWidth="21.140625" defaultRowHeight="15" x14ac:dyDescent="0.25"/>
  <cols>
    <col min="1" max="1" width="21.140625" style="3"/>
    <col min="2" max="2" width="33.28515625" style="3" customWidth="1"/>
    <col min="3" max="3" width="24" style="3" customWidth="1"/>
    <col min="4" max="4" width="27.28515625" style="3" customWidth="1"/>
    <col min="5" max="5" width="34.5703125" style="3" customWidth="1"/>
    <col min="6" max="16384" width="21.140625" style="3"/>
  </cols>
  <sheetData>
    <row r="1" spans="1:5" ht="38.25" customHeight="1" thickBot="1" x14ac:dyDescent="0.3">
      <c r="A1" s="433" t="s">
        <v>3084</v>
      </c>
      <c r="B1" s="433"/>
      <c r="C1" s="433"/>
      <c r="D1" s="433"/>
      <c r="E1" s="433"/>
    </row>
    <row r="2" spans="1:5" ht="30.75" thickBot="1" x14ac:dyDescent="0.3">
      <c r="A2" s="71" t="s">
        <v>382</v>
      </c>
      <c r="B2" s="71" t="s">
        <v>648</v>
      </c>
      <c r="C2" s="71" t="s">
        <v>649</v>
      </c>
      <c r="D2" s="71" t="s">
        <v>650</v>
      </c>
      <c r="E2" s="71" t="s">
        <v>619</v>
      </c>
    </row>
    <row r="3" spans="1:5" x14ac:dyDescent="0.25">
      <c r="A3" s="72" t="s">
        <v>459</v>
      </c>
      <c r="B3" s="72" t="s">
        <v>651</v>
      </c>
      <c r="C3" s="183">
        <v>0.2</v>
      </c>
      <c r="D3" s="72" t="s">
        <v>652</v>
      </c>
      <c r="E3" s="72" t="s">
        <v>3130</v>
      </c>
    </row>
    <row r="4" spans="1:5" x14ac:dyDescent="0.25">
      <c r="A4" s="72" t="s">
        <v>424</v>
      </c>
      <c r="B4" s="72" t="s">
        <v>653</v>
      </c>
      <c r="C4" s="183">
        <v>0.08</v>
      </c>
      <c r="D4" s="72" t="s">
        <v>654</v>
      </c>
      <c r="E4" s="72" t="s">
        <v>3131</v>
      </c>
    </row>
    <row r="5" spans="1:5" ht="30" x14ac:dyDescent="0.25">
      <c r="A5" s="72" t="s">
        <v>461</v>
      </c>
      <c r="B5" s="72" t="s">
        <v>655</v>
      </c>
      <c r="C5" s="183">
        <v>0.12</v>
      </c>
      <c r="D5" s="72" t="s">
        <v>656</v>
      </c>
      <c r="E5" s="72" t="s">
        <v>3132</v>
      </c>
    </row>
    <row r="6" spans="1:5" x14ac:dyDescent="0.25">
      <c r="A6" s="72" t="s">
        <v>463</v>
      </c>
      <c r="B6" s="72" t="s">
        <v>657</v>
      </c>
      <c r="C6" s="183">
        <v>0.08</v>
      </c>
      <c r="D6" s="72"/>
      <c r="E6" s="72" t="s">
        <v>658</v>
      </c>
    </row>
    <row r="7" spans="1:5" x14ac:dyDescent="0.25">
      <c r="A7" s="72" t="s">
        <v>459</v>
      </c>
      <c r="B7" s="72" t="s">
        <v>659</v>
      </c>
      <c r="C7" s="183">
        <v>0.2</v>
      </c>
      <c r="D7" s="72"/>
      <c r="E7" s="72" t="s">
        <v>660</v>
      </c>
    </row>
    <row r="8" spans="1:5" x14ac:dyDescent="0.25">
      <c r="A8" s="72" t="s">
        <v>436</v>
      </c>
      <c r="B8" s="72" t="s">
        <v>661</v>
      </c>
      <c r="C8" s="183">
        <v>0.1</v>
      </c>
      <c r="D8" s="72"/>
      <c r="E8" s="72" t="s">
        <v>3133</v>
      </c>
    </row>
    <row r="9" spans="1:5" ht="30" x14ac:dyDescent="0.25">
      <c r="A9" s="72" t="s">
        <v>662</v>
      </c>
      <c r="B9" s="72" t="s">
        <v>663</v>
      </c>
      <c r="C9" s="183">
        <v>0.04</v>
      </c>
      <c r="D9" s="72" t="s">
        <v>664</v>
      </c>
      <c r="E9" s="72" t="s">
        <v>3134</v>
      </c>
    </row>
    <row r="10" spans="1:5" x14ac:dyDescent="0.25">
      <c r="A10" s="72" t="s">
        <v>665</v>
      </c>
      <c r="B10" s="72" t="s">
        <v>666</v>
      </c>
      <c r="C10" s="183">
        <v>0.21</v>
      </c>
      <c r="D10" s="72"/>
      <c r="E10" s="72" t="s">
        <v>3135</v>
      </c>
    </row>
    <row r="11" spans="1:5" ht="24.75" customHeight="1" x14ac:dyDescent="0.25">
      <c r="A11" s="72" t="s">
        <v>444</v>
      </c>
      <c r="B11" s="72" t="s">
        <v>668</v>
      </c>
      <c r="C11" s="183">
        <v>0.1</v>
      </c>
      <c r="D11" s="72"/>
      <c r="E11" s="72" t="s">
        <v>3136</v>
      </c>
    </row>
    <row r="12" spans="1:5" ht="26.25" customHeight="1" thickBot="1" x14ac:dyDescent="0.3">
      <c r="A12" s="73" t="s">
        <v>667</v>
      </c>
      <c r="B12" s="74"/>
      <c r="C12" s="184">
        <v>0.2</v>
      </c>
      <c r="D12" s="73"/>
      <c r="E12" s="74"/>
    </row>
  </sheetData>
  <mergeCells count="1">
    <mergeCell ref="A1:E1"/>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topLeftCell="C1" zoomScale="102" zoomScaleNormal="102" workbookViewId="0">
      <pane ySplit="2" topLeftCell="A12" activePane="bottomLeft" state="frozen"/>
      <selection pane="bottomLeft" activeCell="F21" sqref="F21"/>
    </sheetView>
  </sheetViews>
  <sheetFormatPr defaultColWidth="9.140625" defaultRowHeight="23.25" customHeight="1" x14ac:dyDescent="0.25"/>
  <cols>
    <col min="1" max="1" width="9.42578125" style="424" customWidth="1"/>
    <col min="2" max="2" width="25.5703125" style="175" bestFit="1" customWidth="1"/>
    <col min="3" max="3" width="16.42578125" style="425" customWidth="1"/>
    <col min="4" max="4" width="61.5703125" style="426" customWidth="1"/>
    <col min="5" max="5" width="16.42578125" style="425" customWidth="1"/>
    <col min="6" max="6" width="61.42578125" style="87" customWidth="1"/>
    <col min="7" max="7" width="15.5703125" style="425" bestFit="1" customWidth="1"/>
    <col min="8" max="8" width="24.28515625" style="175" bestFit="1" customWidth="1"/>
    <col min="9" max="16384" width="9.140625" style="175"/>
  </cols>
  <sheetData>
    <row r="1" spans="1:8" ht="30.75" customHeight="1" thickBot="1" x14ac:dyDescent="0.3">
      <c r="A1" s="453" t="s">
        <v>3085</v>
      </c>
      <c r="B1" s="453"/>
      <c r="C1" s="453"/>
      <c r="D1" s="453"/>
      <c r="E1" s="453"/>
      <c r="F1" s="453"/>
      <c r="G1" s="453"/>
      <c r="H1" s="453"/>
    </row>
    <row r="2" spans="1:8" s="422" customFormat="1" ht="23.25" customHeight="1" thickBot="1" x14ac:dyDescent="0.3">
      <c r="A2" s="419" t="s">
        <v>345</v>
      </c>
      <c r="B2" s="420" t="s">
        <v>382</v>
      </c>
      <c r="C2" s="421" t="s">
        <v>1837</v>
      </c>
      <c r="D2" s="412" t="s">
        <v>1836</v>
      </c>
      <c r="E2" s="421" t="s">
        <v>1838</v>
      </c>
      <c r="F2" s="412" t="s">
        <v>1839</v>
      </c>
      <c r="G2" s="421" t="s">
        <v>1840</v>
      </c>
      <c r="H2" s="412" t="s">
        <v>1841</v>
      </c>
    </row>
    <row r="3" spans="1:8" ht="23.25" customHeight="1" x14ac:dyDescent="0.25">
      <c r="A3" s="423">
        <v>1</v>
      </c>
      <c r="B3" s="41" t="s">
        <v>353</v>
      </c>
      <c r="C3" s="173">
        <v>1</v>
      </c>
      <c r="D3" s="288" t="s">
        <v>739</v>
      </c>
      <c r="E3" s="173">
        <v>1</v>
      </c>
      <c r="F3" s="157" t="s">
        <v>739</v>
      </c>
      <c r="G3" s="173">
        <v>1</v>
      </c>
      <c r="H3" s="41" t="s">
        <v>739</v>
      </c>
    </row>
    <row r="4" spans="1:8" ht="23.25" customHeight="1" x14ac:dyDescent="0.25">
      <c r="A4" s="423">
        <v>2</v>
      </c>
      <c r="B4" s="41" t="s">
        <v>675</v>
      </c>
      <c r="C4" s="173">
        <v>1</v>
      </c>
      <c r="D4" s="288" t="s">
        <v>739</v>
      </c>
      <c r="E4" s="173">
        <v>1</v>
      </c>
      <c r="F4" s="157" t="s">
        <v>739</v>
      </c>
      <c r="G4" s="173">
        <v>1</v>
      </c>
      <c r="H4" s="41" t="s">
        <v>739</v>
      </c>
    </row>
    <row r="5" spans="1:8" ht="23.25" customHeight="1" x14ac:dyDescent="0.25">
      <c r="A5" s="423">
        <v>3</v>
      </c>
      <c r="B5" s="41" t="s">
        <v>387</v>
      </c>
      <c r="C5" s="173">
        <v>1</v>
      </c>
      <c r="D5" s="288" t="s">
        <v>739</v>
      </c>
      <c r="E5" s="173">
        <v>1</v>
      </c>
      <c r="F5" s="157" t="s">
        <v>739</v>
      </c>
      <c r="G5" s="173">
        <v>1</v>
      </c>
      <c r="H5" s="41" t="s">
        <v>739</v>
      </c>
    </row>
    <row r="6" spans="1:8" ht="32.25" customHeight="1" x14ac:dyDescent="0.25">
      <c r="A6" s="423">
        <v>4</v>
      </c>
      <c r="B6" s="41" t="s">
        <v>17</v>
      </c>
      <c r="C6" s="173">
        <v>1.2</v>
      </c>
      <c r="D6" s="288" t="s">
        <v>3089</v>
      </c>
      <c r="E6" s="173">
        <v>1</v>
      </c>
      <c r="F6" s="157" t="s">
        <v>739</v>
      </c>
      <c r="G6" s="173">
        <v>1</v>
      </c>
      <c r="H6" s="41" t="s">
        <v>739</v>
      </c>
    </row>
    <row r="7" spans="1:8" ht="23.25" customHeight="1" x14ac:dyDescent="0.25">
      <c r="A7" s="423">
        <v>5</v>
      </c>
      <c r="B7" s="41" t="s">
        <v>73</v>
      </c>
      <c r="C7" s="173">
        <v>1</v>
      </c>
      <c r="D7" s="288" t="s">
        <v>741</v>
      </c>
      <c r="E7" s="173">
        <v>1</v>
      </c>
      <c r="F7" s="157" t="s">
        <v>739</v>
      </c>
      <c r="G7" s="173">
        <v>1</v>
      </c>
      <c r="H7" s="41" t="s">
        <v>739</v>
      </c>
    </row>
    <row r="8" spans="1:8" ht="30" x14ac:dyDescent="0.25">
      <c r="A8" s="423">
        <v>6</v>
      </c>
      <c r="B8" s="41" t="s">
        <v>1</v>
      </c>
      <c r="C8" s="173">
        <v>1.2</v>
      </c>
      <c r="D8" s="288" t="s">
        <v>3089</v>
      </c>
      <c r="E8" s="173">
        <v>1</v>
      </c>
      <c r="F8" s="157" t="s">
        <v>739</v>
      </c>
      <c r="G8" s="173">
        <v>1</v>
      </c>
      <c r="H8" s="41" t="s">
        <v>739</v>
      </c>
    </row>
    <row r="9" spans="1:8" ht="30" x14ac:dyDescent="0.25">
      <c r="A9" s="423">
        <v>7</v>
      </c>
      <c r="B9" s="41" t="s">
        <v>27</v>
      </c>
      <c r="C9" s="173">
        <v>1.2</v>
      </c>
      <c r="D9" s="288" t="s">
        <v>3089</v>
      </c>
      <c r="E9" s="173">
        <v>1</v>
      </c>
      <c r="F9" s="157" t="s">
        <v>739</v>
      </c>
      <c r="G9" s="173">
        <v>1</v>
      </c>
      <c r="H9" s="41" t="s">
        <v>739</v>
      </c>
    </row>
    <row r="10" spans="1:8" ht="36.75" customHeight="1" x14ac:dyDescent="0.25">
      <c r="A10" s="423">
        <v>8</v>
      </c>
      <c r="B10" s="41" t="s">
        <v>7</v>
      </c>
      <c r="C10" s="173">
        <v>1.2</v>
      </c>
      <c r="D10" s="288" t="s">
        <v>3089</v>
      </c>
      <c r="E10" s="173">
        <v>2</v>
      </c>
      <c r="F10" s="157" t="s">
        <v>3088</v>
      </c>
      <c r="G10" s="173">
        <v>1</v>
      </c>
      <c r="H10" s="41" t="s">
        <v>739</v>
      </c>
    </row>
    <row r="11" spans="1:8" ht="30" x14ac:dyDescent="0.25">
      <c r="A11" s="423">
        <v>9</v>
      </c>
      <c r="B11" s="41" t="s">
        <v>395</v>
      </c>
      <c r="C11" s="173">
        <v>1.2</v>
      </c>
      <c r="D11" s="288" t="s">
        <v>3089</v>
      </c>
      <c r="E11" s="173">
        <v>2</v>
      </c>
      <c r="F11" s="157" t="s">
        <v>3088</v>
      </c>
      <c r="G11" s="173">
        <v>1</v>
      </c>
      <c r="H11" s="41" t="s">
        <v>739</v>
      </c>
    </row>
    <row r="12" spans="1:8" ht="52.5" customHeight="1" x14ac:dyDescent="0.25">
      <c r="A12" s="423">
        <v>10</v>
      </c>
      <c r="B12" s="41" t="s">
        <v>354</v>
      </c>
      <c r="C12" s="173">
        <v>9.4E-2</v>
      </c>
      <c r="D12" s="288" t="s">
        <v>742</v>
      </c>
      <c r="E12" s="173">
        <v>1</v>
      </c>
      <c r="F12" s="157" t="s">
        <v>739</v>
      </c>
      <c r="G12" s="173">
        <v>1</v>
      </c>
      <c r="H12" s="41" t="s">
        <v>739</v>
      </c>
    </row>
    <row r="13" spans="1:8" ht="51.75" customHeight="1" x14ac:dyDescent="0.25">
      <c r="A13" s="423">
        <v>11</v>
      </c>
      <c r="B13" s="41" t="s">
        <v>10</v>
      </c>
      <c r="C13" s="173">
        <v>0.16700000000000001</v>
      </c>
      <c r="D13" s="288" t="s">
        <v>743</v>
      </c>
      <c r="E13" s="173">
        <v>1.25</v>
      </c>
      <c r="F13" s="288" t="s">
        <v>3089</v>
      </c>
      <c r="G13" s="173">
        <v>1</v>
      </c>
      <c r="H13" s="41" t="s">
        <v>739</v>
      </c>
    </row>
    <row r="14" spans="1:8" ht="49.5" customHeight="1" x14ac:dyDescent="0.25">
      <c r="A14" s="423">
        <v>12</v>
      </c>
      <c r="B14" s="41" t="s">
        <v>84</v>
      </c>
      <c r="C14" s="173">
        <v>0.16700000000000001</v>
      </c>
      <c r="D14" s="288" t="s">
        <v>744</v>
      </c>
      <c r="E14" s="173">
        <v>1.25</v>
      </c>
      <c r="F14" s="288" t="s">
        <v>3089</v>
      </c>
      <c r="G14" s="173">
        <v>1</v>
      </c>
      <c r="H14" s="41" t="s">
        <v>739</v>
      </c>
    </row>
    <row r="15" spans="1:8" ht="36.75" customHeight="1" x14ac:dyDescent="0.25">
      <c r="A15" s="423">
        <v>13</v>
      </c>
      <c r="B15" s="41" t="s">
        <v>401</v>
      </c>
      <c r="C15" s="173">
        <v>1.25</v>
      </c>
      <c r="D15" s="288" t="s">
        <v>745</v>
      </c>
      <c r="E15" s="173">
        <v>2</v>
      </c>
      <c r="F15" s="157" t="s">
        <v>3088</v>
      </c>
      <c r="G15" s="173">
        <v>1</v>
      </c>
      <c r="H15" s="41" t="s">
        <v>739</v>
      </c>
    </row>
    <row r="16" spans="1:8" ht="39" customHeight="1" x14ac:dyDescent="0.25">
      <c r="A16" s="423">
        <v>14</v>
      </c>
      <c r="B16" s="41" t="s">
        <v>405</v>
      </c>
      <c r="C16" s="173">
        <v>1.2</v>
      </c>
      <c r="D16" s="288" t="s">
        <v>3089</v>
      </c>
      <c r="E16" s="173">
        <v>2</v>
      </c>
      <c r="F16" s="157" t="s">
        <v>3088</v>
      </c>
      <c r="G16" s="173">
        <v>1</v>
      </c>
      <c r="H16" s="41" t="s">
        <v>739</v>
      </c>
    </row>
    <row r="17" spans="1:8" ht="36" customHeight="1" x14ac:dyDescent="0.25">
      <c r="A17" s="423">
        <v>15</v>
      </c>
      <c r="B17" s="41" t="s">
        <v>409</v>
      </c>
      <c r="C17" s="173">
        <v>1.2</v>
      </c>
      <c r="D17" s="288" t="s">
        <v>3089</v>
      </c>
      <c r="E17" s="173">
        <v>3</v>
      </c>
      <c r="F17" s="157" t="s">
        <v>3088</v>
      </c>
      <c r="G17" s="173">
        <v>1</v>
      </c>
      <c r="H17" s="41" t="s">
        <v>739</v>
      </c>
    </row>
    <row r="18" spans="1:8" ht="23.25" customHeight="1" x14ac:dyDescent="0.25">
      <c r="A18" s="423">
        <v>16</v>
      </c>
      <c r="B18" s="41" t="s">
        <v>411</v>
      </c>
      <c r="C18" s="173">
        <v>1</v>
      </c>
      <c r="D18" s="288" t="s">
        <v>746</v>
      </c>
      <c r="E18" s="173">
        <v>1</v>
      </c>
      <c r="F18" s="157" t="s">
        <v>739</v>
      </c>
      <c r="G18" s="173">
        <v>1</v>
      </c>
      <c r="H18" s="41" t="s">
        <v>739</v>
      </c>
    </row>
    <row r="19" spans="1:8" ht="41.25" customHeight="1" x14ac:dyDescent="0.25">
      <c r="A19" s="423">
        <v>17</v>
      </c>
      <c r="B19" s="41" t="s">
        <v>415</v>
      </c>
      <c r="C19" s="173">
        <v>1.25</v>
      </c>
      <c r="D19" s="288" t="s">
        <v>3089</v>
      </c>
      <c r="E19" s="173">
        <v>2</v>
      </c>
      <c r="F19" s="157" t="s">
        <v>3088</v>
      </c>
      <c r="G19" s="173">
        <v>1</v>
      </c>
      <c r="H19" s="41" t="s">
        <v>739</v>
      </c>
    </row>
    <row r="20" spans="1:8" ht="38.25" customHeight="1" x14ac:dyDescent="0.25">
      <c r="A20" s="423">
        <v>18</v>
      </c>
      <c r="B20" s="41" t="s">
        <v>355</v>
      </c>
      <c r="C20" s="173">
        <v>1.25</v>
      </c>
      <c r="D20" s="288" t="s">
        <v>747</v>
      </c>
      <c r="E20" s="173">
        <v>9</v>
      </c>
      <c r="F20" s="157" t="s">
        <v>3118</v>
      </c>
      <c r="G20" s="173">
        <v>1</v>
      </c>
      <c r="H20" s="41" t="s">
        <v>739</v>
      </c>
    </row>
    <row r="21" spans="1:8" ht="35.25" customHeight="1" x14ac:dyDescent="0.25">
      <c r="A21" s="423">
        <v>19</v>
      </c>
      <c r="B21" s="41" t="s">
        <v>546</v>
      </c>
      <c r="C21" s="173">
        <v>1.2</v>
      </c>
      <c r="D21" s="288" t="s">
        <v>3089</v>
      </c>
      <c r="E21" s="173">
        <v>2</v>
      </c>
      <c r="F21" s="157" t="s">
        <v>3088</v>
      </c>
      <c r="G21" s="173">
        <v>1</v>
      </c>
      <c r="H21" s="41" t="s">
        <v>739</v>
      </c>
    </row>
    <row r="22" spans="1:8" ht="23.25" customHeight="1" x14ac:dyDescent="0.25">
      <c r="A22" s="423">
        <v>20</v>
      </c>
      <c r="B22" s="41" t="s">
        <v>424</v>
      </c>
      <c r="C22" s="173">
        <v>5</v>
      </c>
      <c r="D22" s="288" t="s">
        <v>748</v>
      </c>
      <c r="E22" s="173">
        <v>1</v>
      </c>
      <c r="F22" s="157" t="s">
        <v>739</v>
      </c>
      <c r="G22" s="173">
        <v>1</v>
      </c>
      <c r="H22" s="41" t="s">
        <v>739</v>
      </c>
    </row>
    <row r="23" spans="1:8" ht="23.25" customHeight="1" x14ac:dyDescent="0.25">
      <c r="A23" s="423">
        <v>21</v>
      </c>
      <c r="B23" s="41" t="s">
        <v>427</v>
      </c>
      <c r="C23" s="173">
        <v>1</v>
      </c>
      <c r="D23" s="288" t="s">
        <v>739</v>
      </c>
      <c r="E23" s="173">
        <v>1</v>
      </c>
      <c r="F23" s="157" t="s">
        <v>739</v>
      </c>
      <c r="G23" s="173">
        <v>1</v>
      </c>
      <c r="H23" s="41" t="s">
        <v>739</v>
      </c>
    </row>
    <row r="24" spans="1:8" ht="37.5" customHeight="1" x14ac:dyDescent="0.25">
      <c r="A24" s="423">
        <v>22</v>
      </c>
      <c r="B24" s="41" t="s">
        <v>556</v>
      </c>
      <c r="C24" s="173">
        <v>1.25</v>
      </c>
      <c r="D24" s="288" t="s">
        <v>3089</v>
      </c>
      <c r="E24" s="173">
        <v>2</v>
      </c>
      <c r="F24" s="157" t="s">
        <v>3088</v>
      </c>
      <c r="G24" s="173">
        <v>1</v>
      </c>
      <c r="H24" s="41" t="s">
        <v>739</v>
      </c>
    </row>
    <row r="25" spans="1:8" ht="23.25" customHeight="1" x14ac:dyDescent="0.25">
      <c r="A25" s="423">
        <v>23</v>
      </c>
      <c r="B25" s="41" t="s">
        <v>433</v>
      </c>
      <c r="C25" s="173">
        <v>1</v>
      </c>
      <c r="D25" s="288" t="s">
        <v>746</v>
      </c>
      <c r="E25" s="173">
        <v>1</v>
      </c>
      <c r="F25" s="157" t="s">
        <v>746</v>
      </c>
      <c r="G25" s="173">
        <v>1</v>
      </c>
      <c r="H25" s="41" t="s">
        <v>746</v>
      </c>
    </row>
    <row r="26" spans="1:8" ht="37.5" customHeight="1" x14ac:dyDescent="0.25">
      <c r="A26" s="423">
        <v>24</v>
      </c>
      <c r="B26" s="41" t="s">
        <v>436</v>
      </c>
      <c r="C26" s="173">
        <v>1.2</v>
      </c>
      <c r="D26" s="288" t="s">
        <v>3089</v>
      </c>
      <c r="E26" s="173">
        <v>2</v>
      </c>
      <c r="F26" s="157" t="s">
        <v>3088</v>
      </c>
      <c r="G26" s="173">
        <v>1.1000000000000001</v>
      </c>
      <c r="H26" s="288" t="s">
        <v>748</v>
      </c>
    </row>
    <row r="27" spans="1:8" ht="23.25" customHeight="1" x14ac:dyDescent="0.25">
      <c r="A27" s="423">
        <v>25</v>
      </c>
      <c r="B27" s="41" t="s">
        <v>438</v>
      </c>
      <c r="C27" s="173">
        <v>1</v>
      </c>
      <c r="D27" s="288" t="s">
        <v>746</v>
      </c>
      <c r="E27" s="173">
        <v>1</v>
      </c>
      <c r="F27" s="157" t="s">
        <v>739</v>
      </c>
      <c r="G27" s="173">
        <v>1</v>
      </c>
      <c r="H27" s="41" t="s">
        <v>739</v>
      </c>
    </row>
    <row r="28" spans="1:8" ht="23.25" customHeight="1" x14ac:dyDescent="0.25">
      <c r="A28" s="423">
        <v>26</v>
      </c>
      <c r="B28" s="41" t="s">
        <v>442</v>
      </c>
      <c r="C28" s="173">
        <v>1</v>
      </c>
      <c r="D28" s="288" t="s">
        <v>739</v>
      </c>
      <c r="E28" s="173">
        <v>1</v>
      </c>
      <c r="F28" s="157" t="s">
        <v>739</v>
      </c>
      <c r="G28" s="173">
        <v>1</v>
      </c>
      <c r="H28" s="41" t="s">
        <v>739</v>
      </c>
    </row>
    <row r="29" spans="1:8" ht="23.25" customHeight="1" x14ac:dyDescent="0.25">
      <c r="A29" s="423">
        <v>27</v>
      </c>
      <c r="B29" s="41" t="s">
        <v>444</v>
      </c>
      <c r="C29" s="173">
        <v>1</v>
      </c>
      <c r="D29" s="288" t="s">
        <v>739</v>
      </c>
      <c r="E29" s="173">
        <v>1</v>
      </c>
      <c r="F29" s="157" t="s">
        <v>739</v>
      </c>
      <c r="G29" s="173">
        <v>1</v>
      </c>
      <c r="H29" s="41" t="s">
        <v>739</v>
      </c>
    </row>
    <row r="30" spans="1:8" ht="23.25" customHeight="1" x14ac:dyDescent="0.25">
      <c r="A30" s="423">
        <v>28</v>
      </c>
      <c r="B30" s="41" t="s">
        <v>447</v>
      </c>
      <c r="C30" s="173">
        <v>1</v>
      </c>
      <c r="D30" s="288" t="s">
        <v>739</v>
      </c>
      <c r="E30" s="173">
        <v>1</v>
      </c>
      <c r="F30" s="157" t="s">
        <v>739</v>
      </c>
      <c r="G30" s="173">
        <v>1</v>
      </c>
      <c r="H30" s="41" t="s">
        <v>739</v>
      </c>
    </row>
    <row r="31" spans="1:8" ht="37.5" customHeight="1" x14ac:dyDescent="0.25">
      <c r="A31" s="423">
        <v>29</v>
      </c>
      <c r="B31" s="41" t="s">
        <v>450</v>
      </c>
      <c r="C31" s="173">
        <v>1.25</v>
      </c>
      <c r="D31" s="288" t="s">
        <v>740</v>
      </c>
      <c r="E31" s="173">
        <v>2</v>
      </c>
      <c r="F31" s="157" t="s">
        <v>3088</v>
      </c>
      <c r="G31" s="173">
        <v>1</v>
      </c>
      <c r="H31" s="41" t="s">
        <v>739</v>
      </c>
    </row>
    <row r="32" spans="1:8" ht="38.25" customHeight="1" x14ac:dyDescent="0.25">
      <c r="A32" s="423">
        <v>30</v>
      </c>
      <c r="B32" s="41" t="s">
        <v>453</v>
      </c>
      <c r="C32" s="173">
        <v>1.25</v>
      </c>
      <c r="D32" s="288" t="s">
        <v>740</v>
      </c>
      <c r="E32" s="173">
        <v>2</v>
      </c>
      <c r="F32" s="157" t="s">
        <v>3088</v>
      </c>
      <c r="G32" s="173">
        <v>1</v>
      </c>
      <c r="H32" s="41" t="s">
        <v>739</v>
      </c>
    </row>
    <row r="33" spans="1:8" ht="31.5" customHeight="1" x14ac:dyDescent="0.25">
      <c r="A33" s="423">
        <v>31</v>
      </c>
      <c r="B33" s="41" t="s">
        <v>456</v>
      </c>
      <c r="C33" s="173">
        <v>15</v>
      </c>
      <c r="D33" s="288" t="s">
        <v>749</v>
      </c>
      <c r="E33" s="173">
        <v>1</v>
      </c>
      <c r="F33" s="157" t="s">
        <v>739</v>
      </c>
      <c r="G33" s="173">
        <v>1</v>
      </c>
      <c r="H33" s="41" t="s">
        <v>739</v>
      </c>
    </row>
    <row r="34" spans="1:8" ht="33.75" customHeight="1" x14ac:dyDescent="0.25">
      <c r="A34" s="423">
        <v>32</v>
      </c>
      <c r="B34" s="41" t="s">
        <v>459</v>
      </c>
      <c r="C34" s="173">
        <v>1.25</v>
      </c>
      <c r="D34" s="288" t="s">
        <v>3089</v>
      </c>
      <c r="E34" s="173">
        <v>2</v>
      </c>
      <c r="F34" s="157" t="s">
        <v>3088</v>
      </c>
      <c r="G34" s="173">
        <v>1</v>
      </c>
      <c r="H34" s="41" t="s">
        <v>739</v>
      </c>
    </row>
    <row r="35" spans="1:8" ht="35.25" customHeight="1" x14ac:dyDescent="0.25">
      <c r="A35" s="423">
        <v>33</v>
      </c>
      <c r="B35" s="41" t="s">
        <v>461</v>
      </c>
      <c r="C35" s="173">
        <v>1.2</v>
      </c>
      <c r="D35" s="288" t="s">
        <v>3089</v>
      </c>
      <c r="E35" s="173">
        <v>2</v>
      </c>
      <c r="F35" s="157" t="s">
        <v>3088</v>
      </c>
      <c r="G35" s="173">
        <v>1</v>
      </c>
      <c r="H35" s="41" t="s">
        <v>739</v>
      </c>
    </row>
    <row r="36" spans="1:8" ht="36" customHeight="1" x14ac:dyDescent="0.25">
      <c r="A36" s="423">
        <v>34</v>
      </c>
      <c r="B36" s="41" t="s">
        <v>463</v>
      </c>
      <c r="C36" s="173">
        <v>1.25</v>
      </c>
      <c r="D36" s="288" t="s">
        <v>3089</v>
      </c>
      <c r="E36" s="173">
        <v>2</v>
      </c>
      <c r="F36" s="157" t="s">
        <v>3088</v>
      </c>
      <c r="G36" s="173">
        <v>1</v>
      </c>
      <c r="H36" s="41" t="s">
        <v>739</v>
      </c>
    </row>
    <row r="37" spans="1:8" ht="38.25" customHeight="1" x14ac:dyDescent="0.25">
      <c r="A37" s="423">
        <v>35</v>
      </c>
      <c r="B37" s="41" t="s">
        <v>100</v>
      </c>
      <c r="C37" s="173">
        <v>1.25</v>
      </c>
      <c r="D37" s="288" t="s">
        <v>3089</v>
      </c>
      <c r="E37" s="173">
        <v>2</v>
      </c>
      <c r="F37" s="157" t="s">
        <v>3088</v>
      </c>
      <c r="G37" s="173">
        <v>1</v>
      </c>
      <c r="H37" s="41" t="s">
        <v>739</v>
      </c>
    </row>
    <row r="38" spans="1:8" ht="32.25" customHeight="1" x14ac:dyDescent="0.25">
      <c r="A38" s="423">
        <v>36</v>
      </c>
      <c r="B38" s="41" t="s">
        <v>467</v>
      </c>
      <c r="C38" s="173">
        <v>1.2</v>
      </c>
      <c r="D38" s="288" t="s">
        <v>3089</v>
      </c>
      <c r="E38" s="173">
        <v>2</v>
      </c>
      <c r="F38" s="157" t="s">
        <v>3088</v>
      </c>
      <c r="G38" s="173">
        <v>1</v>
      </c>
      <c r="H38" s="41" t="s">
        <v>739</v>
      </c>
    </row>
    <row r="39" spans="1:8" ht="34.5" customHeight="1" x14ac:dyDescent="0.25">
      <c r="A39" s="423">
        <v>37</v>
      </c>
      <c r="B39" s="41" t="s">
        <v>469</v>
      </c>
      <c r="C39" s="173">
        <v>1</v>
      </c>
      <c r="D39" s="288" t="s">
        <v>746</v>
      </c>
      <c r="E39" s="173">
        <v>1</v>
      </c>
      <c r="F39" s="157" t="s">
        <v>739</v>
      </c>
      <c r="G39" s="173">
        <v>1</v>
      </c>
      <c r="H39" s="41" t="s">
        <v>739</v>
      </c>
    </row>
    <row r="40" spans="1:8" ht="23.25" customHeight="1" x14ac:dyDescent="0.25">
      <c r="A40" s="423">
        <v>38</v>
      </c>
      <c r="B40" s="41" t="s">
        <v>470</v>
      </c>
      <c r="C40" s="173">
        <v>1</v>
      </c>
      <c r="D40" s="288" t="s">
        <v>746</v>
      </c>
      <c r="E40" s="173">
        <v>1</v>
      </c>
      <c r="F40" s="157" t="s">
        <v>739</v>
      </c>
      <c r="G40" s="173">
        <v>1</v>
      </c>
      <c r="H40" s="41" t="s">
        <v>739</v>
      </c>
    </row>
    <row r="41" spans="1:8" ht="23.25" customHeight="1" x14ac:dyDescent="0.25">
      <c r="A41" s="423">
        <v>39</v>
      </c>
      <c r="B41" s="41" t="s">
        <v>471</v>
      </c>
      <c r="C41" s="173">
        <v>1</v>
      </c>
      <c r="D41" s="288" t="s">
        <v>739</v>
      </c>
      <c r="E41" s="173">
        <v>1</v>
      </c>
      <c r="F41" s="157" t="s">
        <v>739</v>
      </c>
      <c r="G41" s="173">
        <v>1</v>
      </c>
      <c r="H41" s="41" t="s">
        <v>739</v>
      </c>
    </row>
    <row r="42" spans="1:8" ht="36.75" customHeight="1" x14ac:dyDescent="0.25">
      <c r="A42" s="423">
        <v>40</v>
      </c>
      <c r="B42" s="41" t="s">
        <v>473</v>
      </c>
      <c r="C42" s="173">
        <v>1.2</v>
      </c>
      <c r="D42" s="288" t="s">
        <v>3089</v>
      </c>
      <c r="E42" s="173">
        <v>2</v>
      </c>
      <c r="F42" s="157" t="s">
        <v>3088</v>
      </c>
      <c r="G42" s="173">
        <v>1</v>
      </c>
      <c r="H42" s="41" t="s">
        <v>739</v>
      </c>
    </row>
    <row r="43" spans="1:8" ht="23.25" customHeight="1" x14ac:dyDescent="0.25">
      <c r="A43" s="423">
        <v>41</v>
      </c>
      <c r="B43" s="41" t="s">
        <v>475</v>
      </c>
      <c r="C43" s="173">
        <v>1</v>
      </c>
      <c r="D43" s="288" t="s">
        <v>739</v>
      </c>
      <c r="E43" s="173">
        <v>1</v>
      </c>
      <c r="F43" s="157" t="s">
        <v>739</v>
      </c>
      <c r="G43" s="173">
        <v>1</v>
      </c>
      <c r="H43" s="41" t="s">
        <v>739</v>
      </c>
    </row>
    <row r="44" spans="1:8" ht="23.25" customHeight="1" x14ac:dyDescent="0.25">
      <c r="A44" s="423">
        <v>42</v>
      </c>
      <c r="B44" s="41" t="s">
        <v>477</v>
      </c>
      <c r="C44" s="173">
        <v>1</v>
      </c>
      <c r="D44" s="288" t="s">
        <v>739</v>
      </c>
      <c r="E44" s="173">
        <v>1</v>
      </c>
      <c r="F44" s="157" t="s">
        <v>739</v>
      </c>
      <c r="G44" s="173">
        <v>1</v>
      </c>
      <c r="H44" s="41" t="s">
        <v>739</v>
      </c>
    </row>
    <row r="45" spans="1:8" ht="23.25" customHeight="1" x14ac:dyDescent="0.25">
      <c r="A45" s="423">
        <v>43</v>
      </c>
      <c r="B45" s="41" t="s">
        <v>479</v>
      </c>
      <c r="C45" s="173">
        <v>1</v>
      </c>
      <c r="D45" s="288" t="s">
        <v>739</v>
      </c>
      <c r="E45" s="173">
        <v>1</v>
      </c>
      <c r="F45" s="157" t="s">
        <v>739</v>
      </c>
      <c r="G45" s="173">
        <v>1</v>
      </c>
      <c r="H45" s="41" t="s">
        <v>739</v>
      </c>
    </row>
    <row r="46" spans="1:8" ht="23.25" customHeight="1" x14ac:dyDescent="0.25">
      <c r="A46" s="423">
        <v>44</v>
      </c>
      <c r="B46" s="41" t="s">
        <v>481</v>
      </c>
      <c r="C46" s="173">
        <v>1</v>
      </c>
      <c r="D46" s="288" t="s">
        <v>739</v>
      </c>
      <c r="E46" s="173">
        <v>1</v>
      </c>
      <c r="F46" s="157" t="s">
        <v>739</v>
      </c>
      <c r="G46" s="173">
        <v>1</v>
      </c>
      <c r="H46" s="41" t="s">
        <v>739</v>
      </c>
    </row>
    <row r="47" spans="1:8" ht="23.25" customHeight="1" x14ac:dyDescent="0.25">
      <c r="A47" s="423">
        <v>45</v>
      </c>
      <c r="B47" s="41" t="s">
        <v>483</v>
      </c>
      <c r="C47" s="173">
        <v>1</v>
      </c>
      <c r="D47" s="288" t="s">
        <v>739</v>
      </c>
      <c r="E47" s="173">
        <v>1</v>
      </c>
      <c r="F47" s="157" t="s">
        <v>739</v>
      </c>
      <c r="G47" s="173">
        <v>1</v>
      </c>
      <c r="H47" s="41" t="s">
        <v>739</v>
      </c>
    </row>
    <row r="48" spans="1:8" ht="33" customHeight="1" x14ac:dyDescent="0.25">
      <c r="A48" s="423">
        <v>46</v>
      </c>
      <c r="B48" s="41" t="s">
        <v>638</v>
      </c>
      <c r="C48" s="173">
        <v>1.75</v>
      </c>
      <c r="D48" s="288" t="s">
        <v>750</v>
      </c>
      <c r="E48" s="173"/>
      <c r="F48" s="157"/>
      <c r="G48" s="173"/>
      <c r="H48" s="41"/>
    </row>
    <row r="49" spans="1:8" ht="23.25" customHeight="1" x14ac:dyDescent="0.25">
      <c r="A49" s="423">
        <v>47</v>
      </c>
      <c r="B49" s="41" t="s">
        <v>487</v>
      </c>
      <c r="C49" s="173">
        <v>1</v>
      </c>
      <c r="D49" s="288" t="s">
        <v>739</v>
      </c>
      <c r="E49" s="173">
        <v>1</v>
      </c>
      <c r="F49" s="157" t="s">
        <v>739</v>
      </c>
      <c r="G49" s="173">
        <v>1</v>
      </c>
      <c r="H49" s="41" t="s">
        <v>739</v>
      </c>
    </row>
    <row r="50" spans="1:8" ht="23.25" customHeight="1" x14ac:dyDescent="0.25">
      <c r="A50" s="423">
        <v>48</v>
      </c>
      <c r="B50" s="41" t="s">
        <v>489</v>
      </c>
      <c r="C50" s="173">
        <v>1</v>
      </c>
      <c r="D50" s="288" t="s">
        <v>739</v>
      </c>
      <c r="E50" s="173">
        <v>1</v>
      </c>
      <c r="F50" s="157" t="s">
        <v>739</v>
      </c>
      <c r="G50" s="173">
        <v>1</v>
      </c>
      <c r="H50" s="41" t="s">
        <v>739</v>
      </c>
    </row>
    <row r="51" spans="1:8" ht="23.25" customHeight="1" x14ac:dyDescent="0.25">
      <c r="A51" s="423">
        <v>49</v>
      </c>
      <c r="B51" s="41" t="s">
        <v>356</v>
      </c>
      <c r="C51" s="173">
        <v>1</v>
      </c>
      <c r="D51" s="288" t="s">
        <v>739</v>
      </c>
      <c r="E51" s="173">
        <v>1</v>
      </c>
      <c r="F51" s="157" t="s">
        <v>739</v>
      </c>
      <c r="G51" s="173">
        <v>1</v>
      </c>
      <c r="H51" s="41" t="s">
        <v>739</v>
      </c>
    </row>
    <row r="52" spans="1:8" ht="23.25" customHeight="1" x14ac:dyDescent="0.25">
      <c r="A52" s="423">
        <v>50</v>
      </c>
      <c r="B52" s="41" t="s">
        <v>357</v>
      </c>
      <c r="C52" s="173">
        <v>1</v>
      </c>
      <c r="D52" s="288" t="s">
        <v>739</v>
      </c>
      <c r="E52" s="173">
        <v>1</v>
      </c>
      <c r="F52" s="157" t="s">
        <v>739</v>
      </c>
      <c r="G52" s="173">
        <v>1</v>
      </c>
      <c r="H52" s="41" t="s">
        <v>739</v>
      </c>
    </row>
    <row r="53" spans="1:8" ht="23.25" customHeight="1" x14ac:dyDescent="0.25">
      <c r="A53" s="423">
        <v>51</v>
      </c>
      <c r="B53" s="41" t="s">
        <v>679</v>
      </c>
      <c r="C53" s="173">
        <v>1</v>
      </c>
      <c r="D53" s="288" t="s">
        <v>739</v>
      </c>
      <c r="E53" s="173">
        <v>1</v>
      </c>
      <c r="F53" s="157" t="s">
        <v>739</v>
      </c>
      <c r="G53" s="173">
        <v>1</v>
      </c>
      <c r="H53" s="41" t="s">
        <v>739</v>
      </c>
    </row>
    <row r="54" spans="1:8" ht="23.25" customHeight="1" x14ac:dyDescent="0.25">
      <c r="A54" s="423">
        <v>52</v>
      </c>
      <c r="B54" s="41" t="s">
        <v>5</v>
      </c>
      <c r="C54" s="173">
        <v>1.2</v>
      </c>
      <c r="D54" s="288" t="s">
        <v>3089</v>
      </c>
      <c r="E54" s="173">
        <v>1</v>
      </c>
      <c r="F54" s="157" t="s">
        <v>739</v>
      </c>
      <c r="G54" s="173">
        <v>1</v>
      </c>
      <c r="H54" s="41" t="s">
        <v>739</v>
      </c>
    </row>
    <row r="55" spans="1:8" ht="23.25" customHeight="1" thickBot="1" x14ac:dyDescent="0.3">
      <c r="A55" s="397">
        <v>53</v>
      </c>
      <c r="B55" s="226" t="s">
        <v>681</v>
      </c>
      <c r="C55" s="259">
        <v>1</v>
      </c>
      <c r="D55" s="411" t="s">
        <v>739</v>
      </c>
      <c r="E55" s="259">
        <v>1</v>
      </c>
      <c r="F55" s="160" t="s">
        <v>739</v>
      </c>
      <c r="G55" s="259">
        <v>1</v>
      </c>
      <c r="H55" s="226" t="s">
        <v>739</v>
      </c>
    </row>
  </sheetData>
  <mergeCells count="1">
    <mergeCell ref="A1:H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topLeftCell="C1" zoomScale="110" zoomScaleNormal="110" workbookViewId="0">
      <pane ySplit="2" topLeftCell="A20" activePane="bottomLeft" state="frozen"/>
      <selection pane="bottomLeft" activeCell="C26" sqref="C26"/>
    </sheetView>
  </sheetViews>
  <sheetFormatPr defaultColWidth="9.140625" defaultRowHeight="15" x14ac:dyDescent="0.25"/>
  <cols>
    <col min="1" max="1" width="9.140625" style="87"/>
    <col min="2" max="2" width="23" style="87" bestFit="1" customWidth="1"/>
    <col min="3" max="3" width="149.42578125" style="87" customWidth="1"/>
    <col min="4" max="16384" width="9.140625" style="7"/>
  </cols>
  <sheetData>
    <row r="1" spans="1:3" ht="34.5" customHeight="1" thickBot="1" x14ac:dyDescent="0.3">
      <c r="A1" s="435" t="s">
        <v>2920</v>
      </c>
      <c r="B1" s="435"/>
      <c r="C1" s="435"/>
    </row>
    <row r="2" spans="1:3" ht="15.75" thickBot="1" x14ac:dyDescent="0.3">
      <c r="A2" s="85" t="s">
        <v>345</v>
      </c>
      <c r="B2" s="86" t="s">
        <v>382</v>
      </c>
      <c r="C2" s="86" t="s">
        <v>684</v>
      </c>
    </row>
    <row r="3" spans="1:3" x14ac:dyDescent="0.25">
      <c r="A3" s="81">
        <v>1</v>
      </c>
      <c r="B3" s="82" t="s">
        <v>353</v>
      </c>
      <c r="C3" s="82" t="s">
        <v>685</v>
      </c>
    </row>
    <row r="4" spans="1:3" ht="22.5" customHeight="1" x14ac:dyDescent="0.25">
      <c r="A4" s="81">
        <v>2</v>
      </c>
      <c r="B4" s="82" t="s">
        <v>675</v>
      </c>
      <c r="C4" s="82" t="s">
        <v>685</v>
      </c>
    </row>
    <row r="5" spans="1:3" ht="33.75" customHeight="1" x14ac:dyDescent="0.25">
      <c r="A5" s="81">
        <v>3</v>
      </c>
      <c r="B5" s="82" t="s">
        <v>387</v>
      </c>
      <c r="C5" s="82" t="s">
        <v>701</v>
      </c>
    </row>
    <row r="6" spans="1:3" ht="20.25" customHeight="1" x14ac:dyDescent="0.25">
      <c r="A6" s="81">
        <v>4</v>
      </c>
      <c r="B6" s="82" t="s">
        <v>17</v>
      </c>
      <c r="C6" s="82" t="s">
        <v>702</v>
      </c>
    </row>
    <row r="7" spans="1:3" ht="18.75" customHeight="1" x14ac:dyDescent="0.25">
      <c r="A7" s="81">
        <v>5</v>
      </c>
      <c r="B7" s="82" t="s">
        <v>73</v>
      </c>
      <c r="C7" s="82" t="s">
        <v>1843</v>
      </c>
    </row>
    <row r="8" spans="1:3" ht="20.25" customHeight="1" x14ac:dyDescent="0.25">
      <c r="A8" s="81">
        <v>6</v>
      </c>
      <c r="B8" s="82" t="s">
        <v>1</v>
      </c>
      <c r="C8" s="82" t="s">
        <v>686</v>
      </c>
    </row>
    <row r="9" spans="1:3" ht="46.5" customHeight="1" x14ac:dyDescent="0.25">
      <c r="A9" s="81">
        <v>7</v>
      </c>
      <c r="B9" s="82" t="s">
        <v>27</v>
      </c>
      <c r="C9" s="82" t="s">
        <v>687</v>
      </c>
    </row>
    <row r="10" spans="1:3" ht="20.25" customHeight="1" x14ac:dyDescent="0.25">
      <c r="A10" s="81">
        <v>8</v>
      </c>
      <c r="B10" s="82" t="s">
        <v>7</v>
      </c>
      <c r="C10" s="82" t="s">
        <v>7</v>
      </c>
    </row>
    <row r="11" spans="1:3" ht="20.25" customHeight="1" x14ac:dyDescent="0.25">
      <c r="A11" s="81">
        <v>9</v>
      </c>
      <c r="B11" s="82" t="s">
        <v>395</v>
      </c>
      <c r="C11" s="83" t="s">
        <v>688</v>
      </c>
    </row>
    <row r="12" spans="1:3" ht="20.25" customHeight="1" x14ac:dyDescent="0.25">
      <c r="A12" s="81">
        <v>10</v>
      </c>
      <c r="B12" s="82" t="s">
        <v>354</v>
      </c>
      <c r="C12" s="83" t="s">
        <v>703</v>
      </c>
    </row>
    <row r="13" spans="1:3" ht="20.25" customHeight="1" x14ac:dyDescent="0.25">
      <c r="A13" s="81">
        <v>11</v>
      </c>
      <c r="B13" s="82" t="s">
        <v>10</v>
      </c>
      <c r="C13" s="82" t="s">
        <v>689</v>
      </c>
    </row>
    <row r="14" spans="1:3" ht="20.25" customHeight="1" x14ac:dyDescent="0.25">
      <c r="A14" s="81">
        <v>12</v>
      </c>
      <c r="B14" s="82" t="s">
        <v>84</v>
      </c>
      <c r="C14" s="82" t="s">
        <v>690</v>
      </c>
    </row>
    <row r="15" spans="1:3" ht="20.25" customHeight="1" x14ac:dyDescent="0.25">
      <c r="A15" s="81">
        <v>13</v>
      </c>
      <c r="B15" s="82" t="s">
        <v>401</v>
      </c>
      <c r="C15" s="83" t="s">
        <v>704</v>
      </c>
    </row>
    <row r="16" spans="1:3" ht="20.25" customHeight="1" x14ac:dyDescent="0.25">
      <c r="A16" s="81">
        <v>14</v>
      </c>
      <c r="B16" s="82" t="s">
        <v>405</v>
      </c>
      <c r="C16" s="83" t="s">
        <v>406</v>
      </c>
    </row>
    <row r="17" spans="1:3" ht="20.25" customHeight="1" x14ac:dyDescent="0.25">
      <c r="A17" s="81">
        <v>15</v>
      </c>
      <c r="B17" s="82" t="s">
        <v>409</v>
      </c>
      <c r="C17" s="83" t="s">
        <v>1842</v>
      </c>
    </row>
    <row r="18" spans="1:3" ht="20.25" customHeight="1" x14ac:dyDescent="0.25">
      <c r="A18" s="81">
        <v>16</v>
      </c>
      <c r="B18" s="82" t="s">
        <v>411</v>
      </c>
      <c r="C18" s="82" t="s">
        <v>691</v>
      </c>
    </row>
    <row r="19" spans="1:3" ht="33.75" customHeight="1" x14ac:dyDescent="0.25">
      <c r="A19" s="81">
        <v>17</v>
      </c>
      <c r="B19" s="82" t="s">
        <v>415</v>
      </c>
      <c r="C19" s="83" t="s">
        <v>705</v>
      </c>
    </row>
    <row r="20" spans="1:3" ht="21" customHeight="1" x14ac:dyDescent="0.25">
      <c r="A20" s="81">
        <v>18</v>
      </c>
      <c r="B20" s="82" t="s">
        <v>355</v>
      </c>
      <c r="C20" s="83" t="s">
        <v>706</v>
      </c>
    </row>
    <row r="21" spans="1:3" ht="22.5" customHeight="1" x14ac:dyDescent="0.25">
      <c r="A21" s="81">
        <v>19</v>
      </c>
      <c r="B21" s="82" t="s">
        <v>546</v>
      </c>
      <c r="C21" s="83" t="s">
        <v>692</v>
      </c>
    </row>
    <row r="22" spans="1:3" ht="21" customHeight="1" x14ac:dyDescent="0.25">
      <c r="A22" s="81">
        <v>20</v>
      </c>
      <c r="B22" s="82" t="s">
        <v>424</v>
      </c>
      <c r="C22" s="83" t="s">
        <v>693</v>
      </c>
    </row>
    <row r="23" spans="1:3" ht="48" customHeight="1" x14ac:dyDescent="0.25">
      <c r="A23" s="81">
        <v>21</v>
      </c>
      <c r="B23" s="82" t="s">
        <v>694</v>
      </c>
      <c r="C23" s="83" t="s">
        <v>707</v>
      </c>
    </row>
    <row r="24" spans="1:3" ht="50.25" customHeight="1" x14ac:dyDescent="0.25">
      <c r="A24" s="81">
        <v>22</v>
      </c>
      <c r="B24" s="82" t="s">
        <v>556</v>
      </c>
      <c r="C24" s="83" t="s">
        <v>708</v>
      </c>
    </row>
    <row r="25" spans="1:3" ht="39.75" customHeight="1" x14ac:dyDescent="0.25">
      <c r="A25" s="81">
        <v>23</v>
      </c>
      <c r="B25" s="82" t="s">
        <v>433</v>
      </c>
      <c r="C25" s="83" t="s">
        <v>709</v>
      </c>
    </row>
    <row r="26" spans="1:3" ht="60" x14ac:dyDescent="0.25">
      <c r="A26" s="81">
        <v>24</v>
      </c>
      <c r="B26" s="82" t="s">
        <v>436</v>
      </c>
      <c r="C26" s="83" t="s">
        <v>2825</v>
      </c>
    </row>
    <row r="27" spans="1:3" ht="21.75" customHeight="1" x14ac:dyDescent="0.25">
      <c r="A27" s="81">
        <v>25</v>
      </c>
      <c r="B27" s="82" t="s">
        <v>438</v>
      </c>
      <c r="C27" s="83" t="s">
        <v>710</v>
      </c>
    </row>
    <row r="28" spans="1:3" ht="24.75" customHeight="1" x14ac:dyDescent="0.25">
      <c r="A28" s="81">
        <v>26</v>
      </c>
      <c r="B28" s="82" t="s">
        <v>442</v>
      </c>
      <c r="C28" s="83" t="s">
        <v>711</v>
      </c>
    </row>
    <row r="29" spans="1:3" ht="21.75" customHeight="1" x14ac:dyDescent="0.25">
      <c r="A29" s="81">
        <v>27</v>
      </c>
      <c r="B29" s="82" t="s">
        <v>444</v>
      </c>
      <c r="C29" s="83" t="s">
        <v>695</v>
      </c>
    </row>
    <row r="30" spans="1:3" ht="24" customHeight="1" x14ac:dyDescent="0.25">
      <c r="A30" s="81">
        <v>28</v>
      </c>
      <c r="B30" s="82" t="s">
        <v>447</v>
      </c>
      <c r="C30" s="83" t="s">
        <v>712</v>
      </c>
    </row>
    <row r="31" spans="1:3" ht="123.75" customHeight="1" x14ac:dyDescent="0.25">
      <c r="A31" s="81">
        <v>29</v>
      </c>
      <c r="B31" s="82" t="s">
        <v>450</v>
      </c>
      <c r="C31" s="83" t="s">
        <v>713</v>
      </c>
    </row>
    <row r="32" spans="1:3" ht="22.5" customHeight="1" x14ac:dyDescent="0.25">
      <c r="A32" s="81">
        <v>30</v>
      </c>
      <c r="B32" s="82" t="s">
        <v>453</v>
      </c>
      <c r="C32" s="83" t="s">
        <v>696</v>
      </c>
    </row>
    <row r="33" spans="1:3" ht="51" customHeight="1" x14ac:dyDescent="0.25">
      <c r="A33" s="81">
        <v>31</v>
      </c>
      <c r="B33" s="82" t="s">
        <v>456</v>
      </c>
      <c r="C33" s="83" t="s">
        <v>714</v>
      </c>
    </row>
    <row r="34" spans="1:3" ht="57" customHeight="1" x14ac:dyDescent="0.25">
      <c r="A34" s="81">
        <v>32</v>
      </c>
      <c r="B34" s="82" t="s">
        <v>459</v>
      </c>
      <c r="C34" s="83" t="s">
        <v>715</v>
      </c>
    </row>
    <row r="35" spans="1:3" ht="210" x14ac:dyDescent="0.25">
      <c r="A35" s="81">
        <v>33</v>
      </c>
      <c r="B35" s="82" t="s">
        <v>461</v>
      </c>
      <c r="C35" s="83" t="s">
        <v>716</v>
      </c>
    </row>
    <row r="36" spans="1:3" x14ac:dyDescent="0.25">
      <c r="A36" s="81">
        <v>34</v>
      </c>
      <c r="B36" s="82" t="s">
        <v>463</v>
      </c>
      <c r="C36" s="83" t="s">
        <v>717</v>
      </c>
    </row>
    <row r="37" spans="1:3" x14ac:dyDescent="0.25">
      <c r="A37" s="81">
        <v>35</v>
      </c>
      <c r="B37" s="82" t="s">
        <v>100</v>
      </c>
      <c r="C37" s="82" t="s">
        <v>697</v>
      </c>
    </row>
    <row r="38" spans="1:3" x14ac:dyDescent="0.25">
      <c r="A38" s="81">
        <v>36</v>
      </c>
      <c r="B38" s="82" t="s">
        <v>467</v>
      </c>
      <c r="C38" s="83" t="s">
        <v>698</v>
      </c>
    </row>
    <row r="39" spans="1:3" x14ac:dyDescent="0.25">
      <c r="A39" s="81">
        <v>37</v>
      </c>
      <c r="B39" s="82" t="s">
        <v>469</v>
      </c>
      <c r="C39" s="82" t="s">
        <v>691</v>
      </c>
    </row>
    <row r="40" spans="1:3" x14ac:dyDescent="0.25">
      <c r="A40" s="81">
        <v>38</v>
      </c>
      <c r="B40" s="82" t="s">
        <v>470</v>
      </c>
      <c r="C40" s="82" t="s">
        <v>691</v>
      </c>
    </row>
    <row r="41" spans="1:3" x14ac:dyDescent="0.25">
      <c r="A41" s="81">
        <v>39</v>
      </c>
      <c r="B41" s="82" t="s">
        <v>471</v>
      </c>
      <c r="C41" s="83" t="s">
        <v>699</v>
      </c>
    </row>
    <row r="42" spans="1:3" ht="45" x14ac:dyDescent="0.25">
      <c r="A42" s="81">
        <v>40</v>
      </c>
      <c r="B42" s="82" t="s">
        <v>473</v>
      </c>
      <c r="C42" s="83" t="s">
        <v>718</v>
      </c>
    </row>
    <row r="43" spans="1:3" x14ac:dyDescent="0.25">
      <c r="A43" s="81">
        <v>41</v>
      </c>
      <c r="B43" s="82" t="s">
        <v>475</v>
      </c>
      <c r="C43" s="79" t="s">
        <v>645</v>
      </c>
    </row>
    <row r="44" spans="1:3" x14ac:dyDescent="0.25">
      <c r="A44" s="81">
        <v>42</v>
      </c>
      <c r="B44" s="82" t="s">
        <v>477</v>
      </c>
      <c r="C44" s="83" t="s">
        <v>700</v>
      </c>
    </row>
    <row r="45" spans="1:3" x14ac:dyDescent="0.25">
      <c r="A45" s="81">
        <v>43</v>
      </c>
      <c r="B45" s="82" t="s">
        <v>479</v>
      </c>
      <c r="C45" s="83" t="s">
        <v>480</v>
      </c>
    </row>
    <row r="46" spans="1:3" x14ac:dyDescent="0.25">
      <c r="A46" s="81">
        <v>44</v>
      </c>
      <c r="B46" s="82" t="s">
        <v>481</v>
      </c>
      <c r="C46" s="79" t="s">
        <v>482</v>
      </c>
    </row>
    <row r="47" spans="1:3" x14ac:dyDescent="0.25">
      <c r="A47" s="81">
        <v>45</v>
      </c>
      <c r="B47" s="82" t="s">
        <v>483</v>
      </c>
      <c r="C47" s="83" t="s">
        <v>484</v>
      </c>
    </row>
    <row r="48" spans="1:3" x14ac:dyDescent="0.25">
      <c r="A48" s="436">
        <v>46</v>
      </c>
      <c r="B48" s="428" t="s">
        <v>638</v>
      </c>
      <c r="C48" s="437" t="s">
        <v>486</v>
      </c>
    </row>
    <row r="49" spans="1:3" x14ac:dyDescent="0.25">
      <c r="A49" s="436"/>
      <c r="B49" s="428"/>
      <c r="C49" s="437"/>
    </row>
    <row r="50" spans="1:3" ht="17.25" customHeight="1" x14ac:dyDescent="0.25">
      <c r="A50" s="81">
        <v>47</v>
      </c>
      <c r="B50" s="82" t="s">
        <v>487</v>
      </c>
      <c r="C50" s="80" t="s">
        <v>488</v>
      </c>
    </row>
    <row r="51" spans="1:3" ht="30" x14ac:dyDescent="0.25">
      <c r="A51" s="436">
        <v>48</v>
      </c>
      <c r="B51" s="428" t="s">
        <v>489</v>
      </c>
      <c r="C51" s="79" t="s">
        <v>719</v>
      </c>
    </row>
    <row r="52" spans="1:3" ht="21" customHeight="1" x14ac:dyDescent="0.25">
      <c r="A52" s="436"/>
      <c r="B52" s="428"/>
      <c r="C52" s="79" t="s">
        <v>208</v>
      </c>
    </row>
    <row r="53" spans="1:3" ht="19.5" customHeight="1" x14ac:dyDescent="0.25">
      <c r="A53" s="81">
        <v>49</v>
      </c>
      <c r="B53" s="82" t="s">
        <v>356</v>
      </c>
      <c r="C53" s="83" t="s">
        <v>720</v>
      </c>
    </row>
    <row r="54" spans="1:3" ht="18" customHeight="1" x14ac:dyDescent="0.25">
      <c r="A54" s="81">
        <v>50</v>
      </c>
      <c r="B54" s="82" t="s">
        <v>357</v>
      </c>
      <c r="C54" s="79" t="s">
        <v>225</v>
      </c>
    </row>
    <row r="55" spans="1:3" x14ac:dyDescent="0.25">
      <c r="A55" s="81">
        <v>51</v>
      </c>
      <c r="B55" s="82" t="s">
        <v>679</v>
      </c>
      <c r="C55" s="82" t="s">
        <v>685</v>
      </c>
    </row>
    <row r="56" spans="1:3" x14ac:dyDescent="0.25">
      <c r="A56" s="81">
        <v>52</v>
      </c>
      <c r="B56" s="82" t="s">
        <v>5</v>
      </c>
      <c r="C56" s="82" t="s">
        <v>685</v>
      </c>
    </row>
    <row r="57" spans="1:3" x14ac:dyDescent="0.25">
      <c r="A57" s="81">
        <v>53</v>
      </c>
      <c r="B57" s="82" t="s">
        <v>680</v>
      </c>
      <c r="C57" s="82" t="s">
        <v>685</v>
      </c>
    </row>
    <row r="58" spans="1:3" ht="15.75" thickBot="1" x14ac:dyDescent="0.3">
      <c r="A58" s="85">
        <v>54</v>
      </c>
      <c r="B58" s="86" t="s">
        <v>681</v>
      </c>
      <c r="C58" s="86" t="s">
        <v>685</v>
      </c>
    </row>
  </sheetData>
  <mergeCells count="6">
    <mergeCell ref="A1:C1"/>
    <mergeCell ref="A48:A49"/>
    <mergeCell ref="B48:B49"/>
    <mergeCell ref="C48:C49"/>
    <mergeCell ref="A51:A52"/>
    <mergeCell ref="B51:B52"/>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topLeftCell="L2" zoomScale="80" zoomScaleNormal="80" workbookViewId="0">
      <pane ySplit="3" topLeftCell="A21" activePane="bottomLeft" state="frozen"/>
      <selection activeCell="A2" sqref="A2"/>
      <selection pane="bottomLeft" activeCell="O41" sqref="O41"/>
    </sheetView>
  </sheetViews>
  <sheetFormatPr defaultColWidth="9.140625" defaultRowHeight="15.75" x14ac:dyDescent="0.25"/>
  <cols>
    <col min="1" max="1" width="9.140625" style="48"/>
    <col min="2" max="2" width="25.5703125" style="4" bestFit="1" customWidth="1"/>
    <col min="3" max="3" width="10.7109375" style="175" customWidth="1"/>
    <col min="4" max="4" width="9.140625" style="175" customWidth="1"/>
    <col min="5" max="5" width="9.140625" style="176" customWidth="1"/>
    <col min="6" max="7" width="9.140625" style="4" customWidth="1"/>
    <col min="8" max="8" width="9.140625" style="177" customWidth="1"/>
    <col min="9" max="9" width="12.85546875" style="4" customWidth="1"/>
    <col min="10" max="10" width="11.85546875" style="4" customWidth="1"/>
    <col min="11" max="11" width="2" style="4" customWidth="1"/>
    <col min="12" max="12" width="11.85546875" style="4" customWidth="1"/>
    <col min="13" max="13" width="12.85546875" style="4" customWidth="1"/>
    <col min="14" max="14" width="84" style="87" customWidth="1"/>
    <col min="15" max="15" width="54.5703125" style="87" customWidth="1"/>
    <col min="16" max="16" width="39.28515625" style="175" customWidth="1"/>
    <col min="17" max="17" width="27.42578125" style="175" customWidth="1"/>
    <col min="18" max="18" width="21.140625" style="4" customWidth="1"/>
    <col min="19" max="16384" width="9.140625" style="4"/>
  </cols>
  <sheetData>
    <row r="1" spans="1:18" ht="15" x14ac:dyDescent="0.25">
      <c r="A1" s="439" t="s">
        <v>2921</v>
      </c>
      <c r="B1" s="439"/>
      <c r="C1" s="439"/>
      <c r="D1" s="439"/>
      <c r="E1" s="439"/>
      <c r="F1" s="439"/>
      <c r="G1" s="439"/>
      <c r="H1" s="439"/>
      <c r="I1" s="439"/>
      <c r="J1" s="439"/>
      <c r="K1" s="439"/>
      <c r="L1" s="439"/>
      <c r="M1" s="439"/>
      <c r="N1" s="157"/>
    </row>
    <row r="2" spans="1:18" ht="55.5" customHeight="1" thickBot="1" x14ac:dyDescent="0.3">
      <c r="A2" s="433"/>
      <c r="B2" s="433"/>
      <c r="C2" s="433"/>
      <c r="D2" s="433"/>
      <c r="E2" s="433"/>
      <c r="F2" s="433"/>
      <c r="G2" s="433"/>
      <c r="H2" s="433"/>
      <c r="I2" s="433"/>
      <c r="J2" s="433"/>
      <c r="K2" s="433"/>
      <c r="L2" s="433"/>
      <c r="M2" s="433"/>
      <c r="N2" s="265"/>
      <c r="O2" s="224"/>
      <c r="P2" s="225"/>
      <c r="Q2" s="225"/>
      <c r="R2" s="161"/>
    </row>
    <row r="3" spans="1:18" x14ac:dyDescent="0.25">
      <c r="A3" s="89" t="s">
        <v>345</v>
      </c>
      <c r="B3" s="162" t="s">
        <v>382</v>
      </c>
      <c r="C3" s="163" t="s">
        <v>346</v>
      </c>
      <c r="D3" s="156" t="s">
        <v>347</v>
      </c>
      <c r="E3" s="152" t="s">
        <v>348</v>
      </c>
      <c r="F3" s="88" t="s">
        <v>349</v>
      </c>
      <c r="G3" s="88" t="s">
        <v>350</v>
      </c>
      <c r="H3" s="152" t="s">
        <v>351</v>
      </c>
      <c r="I3" s="438" t="s">
        <v>2859</v>
      </c>
      <c r="J3" s="438"/>
      <c r="K3" s="164"/>
      <c r="L3" s="438" t="s">
        <v>2858</v>
      </c>
      <c r="M3" s="438"/>
      <c r="N3" s="227" t="s">
        <v>1855</v>
      </c>
      <c r="O3" s="223" t="s">
        <v>1856</v>
      </c>
      <c r="P3" s="223" t="s">
        <v>1857</v>
      </c>
      <c r="Q3" s="41" t="s">
        <v>1858</v>
      </c>
      <c r="R3" s="18" t="s">
        <v>1859</v>
      </c>
    </row>
    <row r="4" spans="1:18" ht="25.5" customHeight="1" thickBot="1" x14ac:dyDescent="0.3">
      <c r="A4" s="90"/>
      <c r="B4" s="165"/>
      <c r="C4" s="166" t="s">
        <v>1860</v>
      </c>
      <c r="D4" s="166" t="s">
        <v>1861</v>
      </c>
      <c r="E4" s="154"/>
      <c r="F4" s="70"/>
      <c r="G4" s="70"/>
      <c r="H4" s="153"/>
      <c r="I4" s="167" t="s">
        <v>2856</v>
      </c>
      <c r="J4" s="167" t="s">
        <v>2857</v>
      </c>
      <c r="K4" s="167"/>
      <c r="L4" s="264" t="s">
        <v>2856</v>
      </c>
      <c r="M4" s="264" t="s">
        <v>2857</v>
      </c>
      <c r="N4" s="160"/>
      <c r="O4" s="160"/>
      <c r="P4" s="226"/>
      <c r="Q4" s="226"/>
      <c r="R4" s="159"/>
    </row>
    <row r="5" spans="1:18" ht="17.25" x14ac:dyDescent="0.25">
      <c r="A5" s="144">
        <v>1</v>
      </c>
      <c r="B5" s="163" t="s">
        <v>353</v>
      </c>
      <c r="C5" s="173">
        <v>24.188064575195313</v>
      </c>
      <c r="D5" s="168">
        <v>254.05999755859375</v>
      </c>
      <c r="E5" s="145" t="s">
        <v>147</v>
      </c>
      <c r="F5" s="146" t="s">
        <v>147</v>
      </c>
      <c r="G5" s="169">
        <v>1</v>
      </c>
      <c r="H5" s="155">
        <v>0.99480116367340088</v>
      </c>
      <c r="I5" s="84">
        <v>0</v>
      </c>
      <c r="J5" s="84">
        <v>0</v>
      </c>
      <c r="K5" s="84"/>
      <c r="L5" s="84">
        <v>0</v>
      </c>
      <c r="M5" s="84">
        <v>0</v>
      </c>
      <c r="N5" s="170" t="s">
        <v>3014</v>
      </c>
      <c r="O5" s="266"/>
      <c r="P5" s="266"/>
      <c r="Q5" s="266"/>
      <c r="R5" s="267"/>
    </row>
    <row r="6" spans="1:18" ht="17.25" x14ac:dyDescent="0.25">
      <c r="A6" s="144">
        <v>2</v>
      </c>
      <c r="B6" s="163" t="s">
        <v>675</v>
      </c>
      <c r="C6" s="173">
        <v>205.3800048828125</v>
      </c>
      <c r="D6" s="168">
        <v>17.006999969482422</v>
      </c>
      <c r="E6" s="145" t="s">
        <v>147</v>
      </c>
      <c r="F6" s="146" t="s">
        <v>147</v>
      </c>
      <c r="G6" s="169">
        <v>1</v>
      </c>
      <c r="H6" s="155">
        <v>0.22222909331321716</v>
      </c>
      <c r="I6" s="84">
        <v>0</v>
      </c>
      <c r="J6" s="84">
        <v>0</v>
      </c>
      <c r="K6" s="84"/>
      <c r="L6" s="84">
        <v>0</v>
      </c>
      <c r="M6" s="84">
        <v>0</v>
      </c>
      <c r="N6" s="170" t="s">
        <v>3015</v>
      </c>
      <c r="O6" s="266"/>
      <c r="P6" s="266"/>
      <c r="Q6" s="266"/>
      <c r="R6" s="267"/>
    </row>
    <row r="7" spans="1:18" ht="17.25" x14ac:dyDescent="0.25">
      <c r="A7" s="144">
        <v>3</v>
      </c>
      <c r="B7" s="163" t="s">
        <v>676</v>
      </c>
      <c r="C7" s="173">
        <v>13.844701766967773</v>
      </c>
      <c r="D7" s="168">
        <v>200</v>
      </c>
      <c r="E7" s="171">
        <v>215</v>
      </c>
      <c r="F7" s="146" t="s">
        <v>147</v>
      </c>
      <c r="G7" s="169">
        <v>0.9</v>
      </c>
      <c r="H7" s="155">
        <v>0.98621004819869995</v>
      </c>
      <c r="I7" s="84">
        <v>0</v>
      </c>
      <c r="J7" s="84">
        <v>0</v>
      </c>
      <c r="K7" s="84"/>
      <c r="L7" s="84">
        <v>0</v>
      </c>
      <c r="M7" s="84">
        <v>0</v>
      </c>
      <c r="N7" s="170" t="s">
        <v>1848</v>
      </c>
      <c r="O7" s="266" t="s">
        <v>3016</v>
      </c>
      <c r="P7" s="266" t="s">
        <v>1845</v>
      </c>
      <c r="Q7" s="266" t="s">
        <v>1846</v>
      </c>
      <c r="R7" s="267"/>
    </row>
    <row r="8" spans="1:18" ht="30" x14ac:dyDescent="0.25">
      <c r="A8" s="144">
        <v>4</v>
      </c>
      <c r="B8" s="163" t="s">
        <v>677</v>
      </c>
      <c r="C8" s="173">
        <v>4.3924655914306641</v>
      </c>
      <c r="D8" s="168">
        <v>27</v>
      </c>
      <c r="E8" s="147">
        <v>67.5</v>
      </c>
      <c r="F8" s="169">
        <v>0.4</v>
      </c>
      <c r="G8" s="169">
        <v>0.9</v>
      </c>
      <c r="H8" s="155">
        <v>0.91204094886779785</v>
      </c>
      <c r="I8" s="84">
        <v>0</v>
      </c>
      <c r="J8" s="84">
        <v>0</v>
      </c>
      <c r="K8" s="84"/>
      <c r="L8" s="84">
        <v>0</v>
      </c>
      <c r="M8" s="84">
        <v>0</v>
      </c>
      <c r="N8" s="170" t="s">
        <v>2831</v>
      </c>
      <c r="O8" s="266"/>
      <c r="P8" s="266" t="s">
        <v>1847</v>
      </c>
      <c r="Q8" s="266"/>
      <c r="R8" s="267"/>
    </row>
    <row r="9" spans="1:18" ht="30" x14ac:dyDescent="0.25">
      <c r="A9" s="144">
        <v>5</v>
      </c>
      <c r="B9" s="163" t="s">
        <v>73</v>
      </c>
      <c r="C9" s="173">
        <v>8.3000001907348633</v>
      </c>
      <c r="D9" s="168">
        <v>45</v>
      </c>
      <c r="E9" s="147">
        <v>112.5</v>
      </c>
      <c r="F9" s="169">
        <v>0.4</v>
      </c>
      <c r="G9" s="169">
        <v>0.9</v>
      </c>
      <c r="H9" s="155">
        <v>0.31691655516624451</v>
      </c>
      <c r="I9" s="84">
        <v>0</v>
      </c>
      <c r="J9" s="84">
        <v>0</v>
      </c>
      <c r="K9" s="84"/>
      <c r="L9" s="84">
        <v>0</v>
      </c>
      <c r="M9" s="84">
        <v>0</v>
      </c>
      <c r="N9" s="170" t="s">
        <v>2832</v>
      </c>
      <c r="O9" s="266"/>
      <c r="P9" s="266" t="s">
        <v>1847</v>
      </c>
      <c r="Q9" s="266"/>
      <c r="R9" s="267"/>
    </row>
    <row r="10" spans="1:18" ht="30" x14ac:dyDescent="0.25">
      <c r="A10" s="144">
        <v>6</v>
      </c>
      <c r="B10" s="163" t="s">
        <v>1</v>
      </c>
      <c r="C10" s="173">
        <v>1.2495787143707275</v>
      </c>
      <c r="D10" s="168">
        <v>20.700000762939453</v>
      </c>
      <c r="E10" s="147">
        <v>51.75</v>
      </c>
      <c r="F10" s="169">
        <v>0.4</v>
      </c>
      <c r="G10" s="169">
        <v>0.9</v>
      </c>
      <c r="H10" s="155">
        <v>0.62043583393096924</v>
      </c>
      <c r="I10" s="84">
        <v>0</v>
      </c>
      <c r="J10" s="84">
        <v>0</v>
      </c>
      <c r="K10" s="84"/>
      <c r="L10" s="84">
        <v>0</v>
      </c>
      <c r="M10" s="84">
        <v>0</v>
      </c>
      <c r="N10" s="170" t="s">
        <v>2833</v>
      </c>
      <c r="O10" s="266"/>
      <c r="P10" s="266" t="s">
        <v>1847</v>
      </c>
      <c r="Q10" s="266"/>
      <c r="R10" s="267"/>
    </row>
    <row r="11" spans="1:18" ht="30" x14ac:dyDescent="0.25">
      <c r="A11" s="144">
        <v>7</v>
      </c>
      <c r="B11" s="163" t="s">
        <v>27</v>
      </c>
      <c r="C11" s="173">
        <v>195.94921875</v>
      </c>
      <c r="D11" s="168">
        <v>19</v>
      </c>
      <c r="E11" s="147">
        <v>47.5</v>
      </c>
      <c r="F11" s="169">
        <v>0.4</v>
      </c>
      <c r="G11" s="169">
        <v>0.9</v>
      </c>
      <c r="H11" s="155">
        <v>0.90453451871871948</v>
      </c>
      <c r="I11" s="84">
        <v>0</v>
      </c>
      <c r="J11" s="84">
        <v>0</v>
      </c>
      <c r="K11" s="84"/>
      <c r="L11" s="84">
        <v>0</v>
      </c>
      <c r="M11" s="84">
        <v>0</v>
      </c>
      <c r="N11" s="170" t="s">
        <v>2834</v>
      </c>
      <c r="O11" s="170"/>
      <c r="P11" s="266" t="s">
        <v>1847</v>
      </c>
      <c r="Q11" s="268"/>
      <c r="R11" s="267"/>
    </row>
    <row r="12" spans="1:18" ht="32.25" x14ac:dyDescent="0.25">
      <c r="A12" s="144">
        <v>8</v>
      </c>
      <c r="B12" s="163" t="s">
        <v>7</v>
      </c>
      <c r="C12" s="173">
        <v>0.21048000454902649</v>
      </c>
      <c r="D12" s="168">
        <v>90.449996948242188</v>
      </c>
      <c r="E12" s="171">
        <v>110</v>
      </c>
      <c r="F12" s="169"/>
      <c r="G12" s="169">
        <v>0.55000000000000004</v>
      </c>
      <c r="H12" s="155">
        <v>0.84949415922164917</v>
      </c>
      <c r="I12" s="84">
        <v>0</v>
      </c>
      <c r="J12" s="84">
        <v>0</v>
      </c>
      <c r="K12" s="84"/>
      <c r="L12" s="84">
        <v>0</v>
      </c>
      <c r="M12" s="84">
        <v>0</v>
      </c>
      <c r="N12" s="170" t="s">
        <v>3055</v>
      </c>
      <c r="O12" s="170" t="s">
        <v>3117</v>
      </c>
      <c r="P12" s="268"/>
      <c r="Q12" s="268"/>
      <c r="R12" s="267"/>
    </row>
    <row r="13" spans="1:18" ht="30" x14ac:dyDescent="0.25">
      <c r="A13" s="144">
        <v>9</v>
      </c>
      <c r="B13" s="163" t="s">
        <v>395</v>
      </c>
      <c r="C13" s="173">
        <v>1.5189970731735229</v>
      </c>
      <c r="D13" s="168">
        <v>14.680000305175781</v>
      </c>
      <c r="E13" s="147">
        <v>58.720001220703125</v>
      </c>
      <c r="F13" s="169">
        <v>0.25</v>
      </c>
      <c r="G13" s="169">
        <v>0.85</v>
      </c>
      <c r="H13" s="155">
        <v>0.97076630592346191</v>
      </c>
      <c r="I13" s="84">
        <v>0</v>
      </c>
      <c r="J13" s="172">
        <v>5.1499999999999997E-2</v>
      </c>
      <c r="K13" s="172"/>
      <c r="L13" s="84">
        <v>0</v>
      </c>
      <c r="M13" s="172">
        <v>1.74E-4</v>
      </c>
      <c r="N13" s="170" t="s">
        <v>1844</v>
      </c>
      <c r="O13" s="170"/>
      <c r="P13" s="266" t="s">
        <v>1847</v>
      </c>
      <c r="Q13" s="268"/>
      <c r="R13" s="267"/>
    </row>
    <row r="14" spans="1:18" ht="32.25" x14ac:dyDescent="0.25">
      <c r="A14" s="144">
        <v>10</v>
      </c>
      <c r="B14" s="163" t="s">
        <v>354</v>
      </c>
      <c r="C14" s="173">
        <v>4.8008999824523926</v>
      </c>
      <c r="D14" s="168">
        <v>18.25</v>
      </c>
      <c r="E14" s="171">
        <v>60</v>
      </c>
      <c r="F14" s="169"/>
      <c r="G14" s="169">
        <v>0.9</v>
      </c>
      <c r="H14" s="155">
        <v>0.41720625758171082</v>
      </c>
      <c r="I14" s="84">
        <v>0</v>
      </c>
      <c r="J14" s="84">
        <v>0</v>
      </c>
      <c r="K14" s="84"/>
      <c r="L14" s="84">
        <v>0</v>
      </c>
      <c r="M14" s="172">
        <v>3.34E-7</v>
      </c>
      <c r="N14" s="170" t="s">
        <v>3054</v>
      </c>
      <c r="O14" s="170" t="s">
        <v>3017</v>
      </c>
      <c r="P14" s="268"/>
      <c r="Q14" s="268"/>
      <c r="R14" s="267"/>
    </row>
    <row r="15" spans="1:18" ht="30" x14ac:dyDescent="0.25">
      <c r="A15" s="144">
        <v>11</v>
      </c>
      <c r="B15" s="163" t="s">
        <v>10</v>
      </c>
      <c r="C15" s="173">
        <v>1.4171229600906372</v>
      </c>
      <c r="D15" s="168">
        <v>90.099998474121094</v>
      </c>
      <c r="E15" s="147">
        <v>225.25</v>
      </c>
      <c r="F15" s="169">
        <v>0.4</v>
      </c>
      <c r="G15" s="169">
        <v>0.9</v>
      </c>
      <c r="H15" s="155">
        <v>0.23467913269996643</v>
      </c>
      <c r="I15" s="84">
        <v>0</v>
      </c>
      <c r="J15" s="84">
        <v>0</v>
      </c>
      <c r="K15" s="84"/>
      <c r="L15" s="84">
        <v>0</v>
      </c>
      <c r="M15" s="84">
        <v>0</v>
      </c>
      <c r="N15" s="170" t="s">
        <v>2850</v>
      </c>
      <c r="O15" s="170"/>
      <c r="P15" s="266" t="s">
        <v>1847</v>
      </c>
      <c r="Q15" s="268"/>
      <c r="R15" s="267"/>
    </row>
    <row r="16" spans="1:18" ht="47.25" x14ac:dyDescent="0.25">
      <c r="A16" s="144">
        <v>12</v>
      </c>
      <c r="B16" s="163" t="s">
        <v>84</v>
      </c>
      <c r="C16" s="173">
        <v>4.1688446998596191</v>
      </c>
      <c r="D16" s="168">
        <v>19.827499389648438</v>
      </c>
      <c r="E16" s="147">
        <v>49.568748474121094</v>
      </c>
      <c r="F16" s="169">
        <v>0.4</v>
      </c>
      <c r="G16" s="169">
        <v>0.9</v>
      </c>
      <c r="H16" s="155">
        <v>0.94463807344436646</v>
      </c>
      <c r="I16" s="84">
        <v>0</v>
      </c>
      <c r="J16" s="84">
        <v>0</v>
      </c>
      <c r="K16" s="84"/>
      <c r="L16" s="84">
        <v>0</v>
      </c>
      <c r="M16" s="84">
        <v>0</v>
      </c>
      <c r="N16" s="170" t="s">
        <v>1862</v>
      </c>
      <c r="O16" s="170"/>
      <c r="P16" s="266" t="s">
        <v>1847</v>
      </c>
      <c r="Q16" s="268"/>
      <c r="R16" s="267"/>
    </row>
    <row r="17" spans="1:18" ht="17.25" x14ac:dyDescent="0.25">
      <c r="A17" s="144">
        <v>13</v>
      </c>
      <c r="B17" s="163" t="s">
        <v>401</v>
      </c>
      <c r="C17" s="173">
        <v>9.1770124435424805</v>
      </c>
      <c r="D17" s="168">
        <v>2.4430000782012939</v>
      </c>
      <c r="E17" s="171">
        <v>12.109999656677246</v>
      </c>
      <c r="F17" s="146" t="s">
        <v>147</v>
      </c>
      <c r="G17" s="169">
        <v>0.8</v>
      </c>
      <c r="H17" s="155">
        <v>0.74615585803985596</v>
      </c>
      <c r="I17" s="84">
        <v>0</v>
      </c>
      <c r="J17" s="84">
        <v>0</v>
      </c>
      <c r="K17" s="84"/>
      <c r="L17" s="84">
        <v>0</v>
      </c>
      <c r="M17" s="172">
        <v>1.0899999999999999E-6</v>
      </c>
      <c r="N17" s="170" t="s">
        <v>3015</v>
      </c>
      <c r="O17" s="170"/>
      <c r="P17" s="268"/>
      <c r="Q17" s="268"/>
      <c r="R17" s="267"/>
    </row>
    <row r="18" spans="1:18" ht="17.25" x14ac:dyDescent="0.25">
      <c r="A18" s="144">
        <v>14</v>
      </c>
      <c r="B18" s="163" t="s">
        <v>405</v>
      </c>
      <c r="C18" s="173">
        <v>7.178797721862793</v>
      </c>
      <c r="D18" s="168">
        <v>0.60000002384185791</v>
      </c>
      <c r="E18" s="171">
        <v>11</v>
      </c>
      <c r="F18" s="146" t="s">
        <v>147</v>
      </c>
      <c r="G18" s="169">
        <v>0.8</v>
      </c>
      <c r="H18" s="155">
        <v>8.6377589032053947E-3</v>
      </c>
      <c r="I18" s="172">
        <v>2.5299999999999999E-6</v>
      </c>
      <c r="J18" s="84">
        <v>0</v>
      </c>
      <c r="K18" s="84"/>
      <c r="L18" s="172">
        <v>2.7300000000000001E-6</v>
      </c>
      <c r="M18" s="172">
        <v>1.6500000000000001E-6</v>
      </c>
      <c r="N18" s="170" t="s">
        <v>3010</v>
      </c>
      <c r="O18" s="170" t="s">
        <v>3010</v>
      </c>
      <c r="P18" s="268"/>
      <c r="Q18" s="268"/>
      <c r="R18" s="267"/>
    </row>
    <row r="19" spans="1:18" ht="17.25" x14ac:dyDescent="0.25">
      <c r="A19" s="144">
        <v>15</v>
      </c>
      <c r="B19" s="163" t="s">
        <v>409</v>
      </c>
      <c r="C19" s="173">
        <v>17.267030715942383</v>
      </c>
      <c r="D19" s="168">
        <v>0.80000001192092896</v>
      </c>
      <c r="E19" s="171">
        <v>1.8500000238418579</v>
      </c>
      <c r="F19" s="146" t="s">
        <v>147</v>
      </c>
      <c r="G19" s="169">
        <v>0.8</v>
      </c>
      <c r="H19" s="155">
        <v>1.3751983642578125E-3</v>
      </c>
      <c r="I19" s="172">
        <v>1.2500000000000001E-6</v>
      </c>
      <c r="J19" s="172">
        <v>8.0099999999999995E-6</v>
      </c>
      <c r="K19" s="172"/>
      <c r="L19" s="172">
        <v>2.3099999999999999E-7</v>
      </c>
      <c r="M19" s="172">
        <v>1.46E-6</v>
      </c>
      <c r="N19" s="170" t="s">
        <v>2851</v>
      </c>
      <c r="O19" s="170" t="s">
        <v>3052</v>
      </c>
      <c r="P19" s="268"/>
      <c r="Q19" s="268"/>
      <c r="R19" s="267"/>
    </row>
    <row r="20" spans="1:18" ht="17.25" x14ac:dyDescent="0.25">
      <c r="A20" s="144">
        <v>16</v>
      </c>
      <c r="B20" s="163" t="s">
        <v>411</v>
      </c>
      <c r="C20" s="155">
        <v>3.0411324501037598</v>
      </c>
      <c r="D20" s="168">
        <v>0.85500001907348633</v>
      </c>
      <c r="E20" s="171">
        <v>12.920000076293945</v>
      </c>
      <c r="F20" s="146" t="s">
        <v>147</v>
      </c>
      <c r="G20" s="169">
        <v>0.8</v>
      </c>
      <c r="H20" s="173">
        <v>0.80000001192092896</v>
      </c>
      <c r="I20" s="172">
        <v>6.3500000000000006E-8</v>
      </c>
      <c r="J20" s="84">
        <v>0</v>
      </c>
      <c r="K20" s="84"/>
      <c r="L20" s="172">
        <v>8.1400000000000001E-8</v>
      </c>
      <c r="M20" s="172">
        <v>7.5700000000000004E-6</v>
      </c>
      <c r="N20" s="170" t="s">
        <v>1849</v>
      </c>
      <c r="O20" s="170" t="s">
        <v>1849</v>
      </c>
      <c r="P20" s="268"/>
      <c r="Q20" s="268"/>
      <c r="R20" s="267"/>
    </row>
    <row r="21" spans="1:18" ht="17.25" x14ac:dyDescent="0.25">
      <c r="A21" s="144">
        <v>17</v>
      </c>
      <c r="B21" s="163" t="s">
        <v>415</v>
      </c>
      <c r="C21" s="173">
        <v>10.844343185424805</v>
      </c>
      <c r="D21" s="168">
        <v>1.6000000238418579</v>
      </c>
      <c r="E21" s="171">
        <v>13.260000228881836</v>
      </c>
      <c r="F21" s="146" t="s">
        <v>147</v>
      </c>
      <c r="G21" s="169">
        <v>0.8</v>
      </c>
      <c r="H21" s="155">
        <v>0.53065860271453857</v>
      </c>
      <c r="I21" s="172">
        <v>8.8200000000000003E-6</v>
      </c>
      <c r="J21" s="172">
        <v>7.1699999999999997E-4</v>
      </c>
      <c r="K21" s="172"/>
      <c r="L21" s="172">
        <v>2.19E-5</v>
      </c>
      <c r="M21" s="172">
        <v>4.5499999999999998E-7</v>
      </c>
      <c r="N21" s="170" t="s">
        <v>3056</v>
      </c>
      <c r="O21" s="170" t="s">
        <v>3048</v>
      </c>
      <c r="P21" s="268"/>
      <c r="Q21" s="268"/>
      <c r="R21" s="267"/>
    </row>
    <row r="22" spans="1:18" ht="30" x14ac:dyDescent="0.25">
      <c r="A22" s="144">
        <v>18</v>
      </c>
      <c r="B22" s="163" t="s">
        <v>355</v>
      </c>
      <c r="C22" s="173">
        <v>8.7219915390014648</v>
      </c>
      <c r="D22" s="168">
        <v>2.0999999046325684</v>
      </c>
      <c r="E22" s="171">
        <v>13.640000343322754</v>
      </c>
      <c r="F22" s="146" t="s">
        <v>147</v>
      </c>
      <c r="G22" s="169">
        <v>0.8</v>
      </c>
      <c r="H22" s="155">
        <v>0.88532203435897827</v>
      </c>
      <c r="I22" s="172">
        <v>4.3000000000000002E-5</v>
      </c>
      <c r="J22" s="172">
        <v>5.54</v>
      </c>
      <c r="K22" s="172"/>
      <c r="L22" s="172">
        <v>3.5800000000000003E-5</v>
      </c>
      <c r="M22" s="172">
        <v>1.59</v>
      </c>
      <c r="N22" s="170" t="s">
        <v>3051</v>
      </c>
      <c r="O22" s="170" t="s">
        <v>3059</v>
      </c>
      <c r="P22" s="268"/>
      <c r="Q22" s="268"/>
      <c r="R22" s="267"/>
    </row>
    <row r="23" spans="1:18" ht="17.25" x14ac:dyDescent="0.25">
      <c r="A23" s="144">
        <v>19</v>
      </c>
      <c r="B23" s="163" t="s">
        <v>546</v>
      </c>
      <c r="C23" s="173">
        <v>0.32159999012947083</v>
      </c>
      <c r="D23" s="168">
        <v>1.7999999523162842</v>
      </c>
      <c r="E23" s="171">
        <v>18.225299835205078</v>
      </c>
      <c r="F23" s="146" t="s">
        <v>147</v>
      </c>
      <c r="G23" s="169">
        <v>0.8</v>
      </c>
      <c r="H23" s="155">
        <v>0.93220359086990356</v>
      </c>
      <c r="I23" s="172">
        <v>1.18E-4</v>
      </c>
      <c r="J23" s="172">
        <v>1.74E-3</v>
      </c>
      <c r="K23" s="172"/>
      <c r="L23" s="172">
        <v>1.11E-5</v>
      </c>
      <c r="M23" s="84">
        <v>0</v>
      </c>
      <c r="N23" s="170" t="s">
        <v>3148</v>
      </c>
      <c r="O23" s="170" t="s">
        <v>2847</v>
      </c>
      <c r="P23" s="268"/>
      <c r="Q23" s="268"/>
      <c r="R23" s="267"/>
    </row>
    <row r="24" spans="1:18" ht="17.25" x14ac:dyDescent="0.25">
      <c r="A24" s="144">
        <v>20</v>
      </c>
      <c r="B24" s="163" t="s">
        <v>424</v>
      </c>
      <c r="C24" s="173">
        <v>0.23702399432659149</v>
      </c>
      <c r="D24" s="168">
        <v>0.34999999403953552</v>
      </c>
      <c r="E24" s="171">
        <v>3.6700000762939453</v>
      </c>
      <c r="F24" s="146" t="s">
        <v>147</v>
      </c>
      <c r="G24" s="169">
        <v>0.8</v>
      </c>
      <c r="H24" s="155">
        <v>0.64312547445297241</v>
      </c>
      <c r="I24" s="172">
        <v>4.4900000000000002E-2</v>
      </c>
      <c r="J24" s="172">
        <v>4.2700000000000001E-5</v>
      </c>
      <c r="K24" s="172"/>
      <c r="L24" s="172">
        <v>6.8100000000000001E-3</v>
      </c>
      <c r="M24" s="172">
        <v>1.6000000000000001E-3</v>
      </c>
      <c r="N24" s="170" t="s">
        <v>3010</v>
      </c>
      <c r="O24" s="170" t="s">
        <v>3052</v>
      </c>
      <c r="P24" s="268"/>
      <c r="Q24" s="268"/>
      <c r="R24" s="267"/>
    </row>
    <row r="25" spans="1:18" ht="17.25" x14ac:dyDescent="0.25">
      <c r="A25" s="144">
        <v>21</v>
      </c>
      <c r="B25" s="163" t="s">
        <v>427</v>
      </c>
      <c r="C25" s="173">
        <v>5.1344960927963257E-2</v>
      </c>
      <c r="D25" s="168">
        <v>0.56999999284744263</v>
      </c>
      <c r="E25" s="171">
        <v>4.9499998092651367</v>
      </c>
      <c r="F25" s="146" t="s">
        <v>147</v>
      </c>
      <c r="G25" s="169">
        <v>0.8</v>
      </c>
      <c r="H25" s="155">
        <v>0.37475892901420593</v>
      </c>
      <c r="I25" s="172">
        <v>1.1399999999999999E-5</v>
      </c>
      <c r="J25" s="172">
        <v>9.6199999999999994E-5</v>
      </c>
      <c r="K25" s="172"/>
      <c r="L25" s="172">
        <v>2.65E-6</v>
      </c>
      <c r="M25" s="172">
        <v>2.8600000000000001E-4</v>
      </c>
      <c r="N25" s="268" t="s">
        <v>3050</v>
      </c>
      <c r="O25" s="268" t="s">
        <v>3050</v>
      </c>
      <c r="P25" s="268"/>
      <c r="Q25" s="268"/>
      <c r="R25" s="267"/>
    </row>
    <row r="26" spans="1:18" ht="17.25" x14ac:dyDescent="0.25">
      <c r="A26" s="144">
        <v>22</v>
      </c>
      <c r="B26" s="163" t="s">
        <v>556</v>
      </c>
      <c r="C26" s="173">
        <v>0.3618634045124054</v>
      </c>
      <c r="D26" s="168">
        <v>0.37999999523162842</v>
      </c>
      <c r="E26" s="171">
        <v>7.8400001525878906</v>
      </c>
      <c r="F26" s="146" t="s">
        <v>147</v>
      </c>
      <c r="G26" s="169">
        <v>0.8</v>
      </c>
      <c r="H26" s="155">
        <v>0.70104670524597168</v>
      </c>
      <c r="I26" s="172">
        <v>8.3599999999999996E-6</v>
      </c>
      <c r="J26" s="172">
        <v>1.5E-6</v>
      </c>
      <c r="K26" s="172"/>
      <c r="L26" s="172">
        <v>3.2400000000000001E-5</v>
      </c>
      <c r="M26" s="172">
        <v>2.3599999999999999E-6</v>
      </c>
      <c r="N26" s="170" t="s">
        <v>3015</v>
      </c>
      <c r="O26" s="170" t="s">
        <v>3053</v>
      </c>
      <c r="P26" s="268"/>
      <c r="Q26" s="268"/>
      <c r="R26" s="267"/>
    </row>
    <row r="27" spans="1:18" ht="17.25" x14ac:dyDescent="0.25">
      <c r="A27" s="144">
        <v>23</v>
      </c>
      <c r="B27" s="163" t="s">
        <v>433</v>
      </c>
      <c r="C27" s="155">
        <v>0.3731381893157959</v>
      </c>
      <c r="D27" s="168">
        <v>0.87000000476837158</v>
      </c>
      <c r="E27" s="171">
        <v>11.710000038146973</v>
      </c>
      <c r="F27" s="146" t="s">
        <v>147</v>
      </c>
      <c r="G27" s="169">
        <v>0.8</v>
      </c>
      <c r="H27" s="173">
        <v>0.80000007152557373</v>
      </c>
      <c r="I27" s="84">
        <v>0</v>
      </c>
      <c r="J27" s="84">
        <v>0</v>
      </c>
      <c r="K27" s="84"/>
      <c r="L27" s="84">
        <v>0</v>
      </c>
      <c r="M27" s="84">
        <v>0</v>
      </c>
      <c r="N27" s="170"/>
      <c r="O27" s="170"/>
      <c r="P27" s="268"/>
      <c r="Q27" s="268"/>
      <c r="R27" s="267"/>
    </row>
    <row r="28" spans="1:18" ht="36.75" customHeight="1" x14ac:dyDescent="0.25">
      <c r="A28" s="144">
        <v>24</v>
      </c>
      <c r="B28" s="163" t="s">
        <v>436</v>
      </c>
      <c r="C28" s="173">
        <v>0.31892943382263184</v>
      </c>
      <c r="D28" s="168">
        <v>2.4500000476837158</v>
      </c>
      <c r="E28" s="171">
        <v>4.5199999809265137</v>
      </c>
      <c r="F28" s="146" t="s">
        <v>147</v>
      </c>
      <c r="G28" s="169">
        <v>0.8</v>
      </c>
      <c r="H28" s="155">
        <v>0.94726097583770752</v>
      </c>
      <c r="I28" s="172">
        <v>1.8300000000000001E-5</v>
      </c>
      <c r="J28" s="84">
        <v>0</v>
      </c>
      <c r="K28" s="84"/>
      <c r="L28" s="172">
        <v>6.1699999999999998E-7</v>
      </c>
      <c r="M28" s="172">
        <v>3.8099999999999998E-7</v>
      </c>
      <c r="N28" s="170" t="s">
        <v>2852</v>
      </c>
      <c r="O28" s="170" t="s">
        <v>3139</v>
      </c>
      <c r="P28" s="268"/>
      <c r="Q28" s="268"/>
      <c r="R28" s="267"/>
    </row>
    <row r="29" spans="1:18" ht="17.25" x14ac:dyDescent="0.25">
      <c r="A29" s="144">
        <v>25</v>
      </c>
      <c r="B29" s="163" t="s">
        <v>438</v>
      </c>
      <c r="C29" s="155">
        <v>1.3719323873519897</v>
      </c>
      <c r="D29" s="168">
        <v>0.77499997615814209</v>
      </c>
      <c r="E29" s="171">
        <v>9.4600000381469727</v>
      </c>
      <c r="F29" s="146" t="s">
        <v>147</v>
      </c>
      <c r="G29" s="169">
        <v>0.8</v>
      </c>
      <c r="H29" s="173">
        <v>0.99000000953674316</v>
      </c>
      <c r="I29" s="172">
        <v>5.7399999999999997E-4</v>
      </c>
      <c r="J29" s="172">
        <v>5.41E-5</v>
      </c>
      <c r="K29" s="172"/>
      <c r="L29" s="172">
        <v>3.0899999999999999E-5</v>
      </c>
      <c r="M29" s="172">
        <v>1.35E-6</v>
      </c>
      <c r="N29" s="170" t="s">
        <v>3011</v>
      </c>
      <c r="O29" s="170" t="s">
        <v>3011</v>
      </c>
      <c r="P29" s="268"/>
      <c r="Q29" s="268"/>
      <c r="R29" s="267"/>
    </row>
    <row r="30" spans="1:18" ht="17.25" x14ac:dyDescent="0.25">
      <c r="A30" s="144">
        <v>26</v>
      </c>
      <c r="B30" s="163" t="s">
        <v>442</v>
      </c>
      <c r="C30" s="173">
        <v>0.14571943879127502</v>
      </c>
      <c r="D30" s="168">
        <v>0.43000000715255737</v>
      </c>
      <c r="E30" s="171">
        <v>2.4800000190734863</v>
      </c>
      <c r="F30" s="146" t="s">
        <v>147</v>
      </c>
      <c r="G30" s="169">
        <v>0.8</v>
      </c>
      <c r="H30" s="155">
        <v>1.1682084761559963E-2</v>
      </c>
      <c r="I30" s="172">
        <v>8.1000000000000004E-5</v>
      </c>
      <c r="J30" s="172">
        <v>3.5399999999999999E-4</v>
      </c>
      <c r="K30" s="172"/>
      <c r="L30" s="172">
        <v>2.9099999999999999E-5</v>
      </c>
      <c r="M30" s="172">
        <v>2.6800000000000001E-4</v>
      </c>
      <c r="N30" s="170" t="s">
        <v>2848</v>
      </c>
      <c r="O30" s="170" t="s">
        <v>3052</v>
      </c>
      <c r="P30" s="268"/>
      <c r="Q30" s="268"/>
      <c r="R30" s="267"/>
    </row>
    <row r="31" spans="1:18" ht="17.25" x14ac:dyDescent="0.25">
      <c r="A31" s="144">
        <v>27</v>
      </c>
      <c r="B31" s="163" t="s">
        <v>444</v>
      </c>
      <c r="C31" s="173">
        <v>1.3542665243148804</v>
      </c>
      <c r="D31" s="168">
        <v>1.0399999618530273</v>
      </c>
      <c r="E31" s="171">
        <v>4.6999998092651367</v>
      </c>
      <c r="F31" s="146" t="s">
        <v>147</v>
      </c>
      <c r="G31" s="169">
        <v>0.8</v>
      </c>
      <c r="H31" s="155">
        <v>1.1508468305692077E-3</v>
      </c>
      <c r="I31" s="172">
        <v>7.7399999999999998E-5</v>
      </c>
      <c r="J31" s="172">
        <v>1.39E-3</v>
      </c>
      <c r="K31" s="172"/>
      <c r="L31" s="172">
        <v>6.3199999999999996E-6</v>
      </c>
      <c r="M31" s="172">
        <v>1.4899999999999999E-4</v>
      </c>
      <c r="N31" s="170" t="s">
        <v>3057</v>
      </c>
      <c r="O31" s="170" t="s">
        <v>3015</v>
      </c>
      <c r="P31" s="268"/>
      <c r="Q31" s="268"/>
      <c r="R31" s="267"/>
    </row>
    <row r="32" spans="1:18" ht="17.25" x14ac:dyDescent="0.25">
      <c r="A32" s="144">
        <v>28</v>
      </c>
      <c r="B32" s="163" t="s">
        <v>447</v>
      </c>
      <c r="C32" s="173">
        <v>7.2448002174496651E-4</v>
      </c>
      <c r="D32" s="168">
        <v>0.43000000715255737</v>
      </c>
      <c r="E32" s="171">
        <v>2.4800000190734863</v>
      </c>
      <c r="F32" s="146" t="s">
        <v>147</v>
      </c>
      <c r="G32" s="169">
        <v>0.8</v>
      </c>
      <c r="H32" s="155">
        <v>2.2505992092192173E-3</v>
      </c>
      <c r="I32" s="172">
        <v>5.2199999999999998E-8</v>
      </c>
      <c r="J32" s="172">
        <v>1.92E-7</v>
      </c>
      <c r="K32" s="172"/>
      <c r="L32" s="172">
        <v>1.5399999999999999E-8</v>
      </c>
      <c r="M32" s="172">
        <v>4.4200000000000001E-7</v>
      </c>
      <c r="N32" s="170" t="s">
        <v>2849</v>
      </c>
      <c r="O32" s="170" t="s">
        <v>3052</v>
      </c>
      <c r="P32" s="268"/>
      <c r="Q32" s="268"/>
      <c r="R32" s="267"/>
    </row>
    <row r="33" spans="1:18" ht="30" x14ac:dyDescent="0.25">
      <c r="A33" s="144">
        <v>29</v>
      </c>
      <c r="B33" s="163" t="s">
        <v>450</v>
      </c>
      <c r="C33" s="173">
        <v>0.92208057641983032</v>
      </c>
      <c r="D33" s="168">
        <v>2.4500000476837158</v>
      </c>
      <c r="E33" s="171">
        <v>9.6700000762939453</v>
      </c>
      <c r="F33" s="146" t="s">
        <v>147</v>
      </c>
      <c r="G33" s="169">
        <v>0.8</v>
      </c>
      <c r="H33" s="155">
        <v>0.97559970617294312</v>
      </c>
      <c r="I33" s="172">
        <v>2.32E-4</v>
      </c>
      <c r="J33" s="172">
        <v>1.5699999999999999E-4</v>
      </c>
      <c r="K33" s="172"/>
      <c r="L33" s="172">
        <v>3.01E-5</v>
      </c>
      <c r="M33" s="172">
        <v>4.4399999999999998E-6</v>
      </c>
      <c r="N33" s="170" t="s">
        <v>2853</v>
      </c>
      <c r="O33" s="170" t="s">
        <v>3137</v>
      </c>
      <c r="P33" s="268"/>
      <c r="Q33" s="268"/>
      <c r="R33" s="267"/>
    </row>
    <row r="34" spans="1:18" ht="17.25" x14ac:dyDescent="0.25">
      <c r="A34" s="144">
        <v>30</v>
      </c>
      <c r="B34" s="163" t="s">
        <v>453</v>
      </c>
      <c r="C34" s="173">
        <v>0.54690420627593994</v>
      </c>
      <c r="D34" s="168">
        <v>0.40000000596046448</v>
      </c>
      <c r="E34" s="171">
        <v>10.210000038146973</v>
      </c>
      <c r="F34" s="146" t="s">
        <v>147</v>
      </c>
      <c r="G34" s="169">
        <v>0.8</v>
      </c>
      <c r="H34" s="155">
        <v>5.5445123463869095E-2</v>
      </c>
      <c r="I34" s="172">
        <v>4.07E-6</v>
      </c>
      <c r="J34" s="172">
        <v>4.8099999999999997E-5</v>
      </c>
      <c r="K34" s="172"/>
      <c r="L34" s="172">
        <v>2.88E-6</v>
      </c>
      <c r="M34" s="172">
        <v>9.7600000000000001E-5</v>
      </c>
      <c r="N34" s="170" t="s">
        <v>2854</v>
      </c>
      <c r="O34" s="170" t="s">
        <v>1851</v>
      </c>
      <c r="P34" s="268"/>
      <c r="Q34" s="268"/>
      <c r="R34" s="267"/>
    </row>
    <row r="35" spans="1:18" ht="17.25" x14ac:dyDescent="0.25">
      <c r="A35" s="144">
        <v>31</v>
      </c>
      <c r="B35" s="163" t="s">
        <v>456</v>
      </c>
      <c r="C35" s="173">
        <v>17.775260925292969</v>
      </c>
      <c r="D35" s="168">
        <v>2.5999999046325684</v>
      </c>
      <c r="E35" s="171">
        <v>25.540000915527344</v>
      </c>
      <c r="F35" s="146" t="s">
        <v>147</v>
      </c>
      <c r="G35" s="169">
        <v>0.8</v>
      </c>
      <c r="H35" s="155">
        <v>0.78987056016921997</v>
      </c>
      <c r="I35" s="172">
        <v>4.16E-6</v>
      </c>
      <c r="J35" s="172">
        <v>4.6499999999999999E-5</v>
      </c>
      <c r="K35" s="172"/>
      <c r="L35" s="172">
        <v>1.29E-5</v>
      </c>
      <c r="M35" s="172">
        <v>2.5600000000000002E-7</v>
      </c>
      <c r="N35" s="170" t="s">
        <v>3010</v>
      </c>
      <c r="O35" s="170" t="s">
        <v>1850</v>
      </c>
      <c r="P35" s="268"/>
      <c r="Q35" s="268"/>
      <c r="R35" s="267"/>
    </row>
    <row r="36" spans="1:18" ht="17.25" x14ac:dyDescent="0.25">
      <c r="A36" s="144">
        <v>32</v>
      </c>
      <c r="B36" s="163" t="s">
        <v>459</v>
      </c>
      <c r="C36" s="173">
        <v>10.369647026062012</v>
      </c>
      <c r="D36" s="168">
        <v>0.69999998807907104</v>
      </c>
      <c r="E36" s="171">
        <v>5.4000000953674316</v>
      </c>
      <c r="F36" s="146" t="s">
        <v>147</v>
      </c>
      <c r="G36" s="169">
        <v>0.8</v>
      </c>
      <c r="H36" s="155">
        <v>0.37209510803222656</v>
      </c>
      <c r="I36" s="172">
        <v>1.6000000000000001E-3</v>
      </c>
      <c r="J36" s="172">
        <v>3.15E-3</v>
      </c>
      <c r="K36" s="172"/>
      <c r="L36" s="172">
        <v>2.9700000000000001E-4</v>
      </c>
      <c r="M36" s="172">
        <v>3.7199999999999999E-4</v>
      </c>
      <c r="N36" s="170" t="s">
        <v>3011</v>
      </c>
      <c r="O36" s="269" t="s">
        <v>3015</v>
      </c>
      <c r="P36" s="268"/>
      <c r="Q36" s="268"/>
      <c r="R36" s="267"/>
    </row>
    <row r="37" spans="1:18" ht="17.25" x14ac:dyDescent="0.25">
      <c r="A37" s="144">
        <v>33</v>
      </c>
      <c r="B37" s="163" t="s">
        <v>461</v>
      </c>
      <c r="C37" s="173">
        <v>83.09423828125</v>
      </c>
      <c r="D37" s="168">
        <v>1.5800000429153442</v>
      </c>
      <c r="E37" s="171">
        <v>5.4099998474121094</v>
      </c>
      <c r="F37" s="146" t="s">
        <v>147</v>
      </c>
      <c r="G37" s="169">
        <v>0.8</v>
      </c>
      <c r="H37" s="155">
        <v>0.92846071720123291</v>
      </c>
      <c r="I37" s="172">
        <v>1.35E-2</v>
      </c>
      <c r="J37" s="172">
        <v>4.7400000000000003E-3</v>
      </c>
      <c r="K37" s="172"/>
      <c r="L37" s="172">
        <v>2.1199999999999999E-3</v>
      </c>
      <c r="M37" s="172">
        <v>8.7200000000000005E-4</v>
      </c>
      <c r="N37" s="170" t="s">
        <v>3049</v>
      </c>
      <c r="O37" s="170" t="s">
        <v>3018</v>
      </c>
      <c r="P37" s="268"/>
      <c r="Q37" s="268"/>
      <c r="R37" s="267"/>
    </row>
    <row r="38" spans="1:18" ht="36" customHeight="1" x14ac:dyDescent="0.25">
      <c r="A38" s="144">
        <v>34</v>
      </c>
      <c r="B38" s="163" t="s">
        <v>463</v>
      </c>
      <c r="C38" s="173">
        <v>0.54513800144195557</v>
      </c>
      <c r="D38" s="168">
        <v>1.5800000429153442</v>
      </c>
      <c r="E38" s="171">
        <v>3.6700000762939453</v>
      </c>
      <c r="F38" s="146" t="s">
        <v>147</v>
      </c>
      <c r="G38" s="169">
        <v>0.8</v>
      </c>
      <c r="H38" s="155">
        <v>0.97083497047424316</v>
      </c>
      <c r="I38" s="172">
        <v>1.1000000000000001E-3</v>
      </c>
      <c r="J38" s="172">
        <v>1.2199999999999999E-3</v>
      </c>
      <c r="K38" s="172"/>
      <c r="L38" s="172">
        <v>1.1400000000000001E-4</v>
      </c>
      <c r="M38" s="172">
        <v>7.2799999999999995E-7</v>
      </c>
      <c r="N38" s="170" t="s">
        <v>3049</v>
      </c>
      <c r="O38" s="170" t="s">
        <v>3138</v>
      </c>
      <c r="P38" s="268"/>
      <c r="Q38" s="268"/>
      <c r="R38" s="267"/>
    </row>
    <row r="39" spans="1:18" ht="17.25" x14ac:dyDescent="0.25">
      <c r="A39" s="144">
        <v>35</v>
      </c>
      <c r="B39" s="163" t="s">
        <v>100</v>
      </c>
      <c r="C39" s="173">
        <v>4.1040782928466797</v>
      </c>
      <c r="D39" s="168">
        <v>4.3000001907348633</v>
      </c>
      <c r="E39" s="171">
        <v>10</v>
      </c>
      <c r="F39" s="146" t="s">
        <v>147</v>
      </c>
      <c r="G39" s="169">
        <v>0.8</v>
      </c>
      <c r="H39" s="155">
        <v>0.75019317865371704</v>
      </c>
      <c r="I39" s="84">
        <v>0</v>
      </c>
      <c r="J39" s="172">
        <v>2.2400000000000002E-6</v>
      </c>
      <c r="K39" s="172"/>
      <c r="L39" s="84">
        <v>0</v>
      </c>
      <c r="M39" s="84">
        <v>0</v>
      </c>
      <c r="N39" s="170" t="s">
        <v>3010</v>
      </c>
      <c r="O39" s="170" t="s">
        <v>3010</v>
      </c>
      <c r="P39" s="268"/>
      <c r="Q39" s="268"/>
      <c r="R39" s="267"/>
    </row>
    <row r="40" spans="1:18" ht="17.25" x14ac:dyDescent="0.25">
      <c r="A40" s="144">
        <v>36</v>
      </c>
      <c r="B40" s="163" t="s">
        <v>467</v>
      </c>
      <c r="C40" s="173">
        <v>1.9287047386169434</v>
      </c>
      <c r="D40" s="168">
        <v>2.4000000953674316</v>
      </c>
      <c r="E40" s="171">
        <v>8.5</v>
      </c>
      <c r="F40" s="146" t="s">
        <v>147</v>
      </c>
      <c r="G40" s="169">
        <v>0.8</v>
      </c>
      <c r="H40" s="155">
        <v>0.91587245464324951</v>
      </c>
      <c r="I40" s="172">
        <v>2.07E-2</v>
      </c>
      <c r="J40" s="172">
        <v>7.8100000000000003E-2</v>
      </c>
      <c r="K40" s="172"/>
      <c r="L40" s="172">
        <v>4.1399999999999996E-3</v>
      </c>
      <c r="M40" s="172">
        <v>5.9999999999999995E-8</v>
      </c>
      <c r="N40" s="170" t="s">
        <v>3011</v>
      </c>
      <c r="O40" s="170" t="s">
        <v>1852</v>
      </c>
      <c r="P40" s="268"/>
      <c r="Q40" s="268"/>
      <c r="R40" s="267"/>
    </row>
    <row r="41" spans="1:18" ht="51" customHeight="1" x14ac:dyDescent="0.25">
      <c r="A41" s="144">
        <v>37</v>
      </c>
      <c r="B41" s="163" t="s">
        <v>469</v>
      </c>
      <c r="C41" s="147">
        <v>16.908388137817383</v>
      </c>
      <c r="D41" s="168">
        <v>0.80000001192092896</v>
      </c>
      <c r="E41" s="171">
        <v>9</v>
      </c>
      <c r="F41" s="146" t="s">
        <v>147</v>
      </c>
      <c r="G41" s="169">
        <v>0.4</v>
      </c>
      <c r="H41" s="168">
        <v>0.80000007152557373</v>
      </c>
      <c r="I41" s="84">
        <v>0</v>
      </c>
      <c r="J41" s="84">
        <v>0</v>
      </c>
      <c r="K41" s="84"/>
      <c r="L41" s="84">
        <v>0</v>
      </c>
      <c r="M41" s="84">
        <v>0</v>
      </c>
      <c r="N41" s="170" t="s">
        <v>3060</v>
      </c>
      <c r="O41" s="170" t="s">
        <v>3058</v>
      </c>
      <c r="P41" s="268"/>
      <c r="Q41" s="170" t="s">
        <v>3010</v>
      </c>
      <c r="R41" s="267"/>
    </row>
    <row r="42" spans="1:18" x14ac:dyDescent="0.25">
      <c r="A42" s="144">
        <v>38</v>
      </c>
      <c r="B42" s="163" t="s">
        <v>470</v>
      </c>
      <c r="C42" s="155">
        <v>14.685815811157227</v>
      </c>
      <c r="D42" s="168">
        <v>12.5</v>
      </c>
      <c r="E42" s="147">
        <v>25</v>
      </c>
      <c r="F42" s="169">
        <v>0.5</v>
      </c>
      <c r="G42" s="169">
        <v>0.5</v>
      </c>
      <c r="H42" s="168">
        <v>0.79999995231628418</v>
      </c>
      <c r="I42" s="84">
        <v>0</v>
      </c>
      <c r="J42" s="84">
        <v>0</v>
      </c>
      <c r="K42" s="84"/>
      <c r="L42" s="84">
        <v>0</v>
      </c>
      <c r="M42" s="84">
        <v>0</v>
      </c>
      <c r="N42" s="170" t="s">
        <v>1853</v>
      </c>
      <c r="O42" s="170"/>
      <c r="P42" s="268"/>
      <c r="Q42" s="170" t="s">
        <v>3010</v>
      </c>
      <c r="R42" s="267"/>
    </row>
    <row r="43" spans="1:18" ht="17.25" x14ac:dyDescent="0.25">
      <c r="A43" s="144">
        <v>39</v>
      </c>
      <c r="B43" s="163" t="s">
        <v>471</v>
      </c>
      <c r="C43" s="173">
        <v>36.4910888671875</v>
      </c>
      <c r="D43" s="168">
        <v>2.2999999523162842</v>
      </c>
      <c r="E43" s="171">
        <v>23</v>
      </c>
      <c r="F43" s="146" t="s">
        <v>147</v>
      </c>
      <c r="G43" s="169">
        <v>0.5</v>
      </c>
      <c r="H43" s="147">
        <v>0.52366256713867188</v>
      </c>
      <c r="I43" s="172">
        <v>4.47E-3</v>
      </c>
      <c r="J43" s="172">
        <v>9.4799999999999995E-2</v>
      </c>
      <c r="K43" s="172"/>
      <c r="L43" s="172">
        <v>8.9400000000000005E-4</v>
      </c>
      <c r="M43" s="84">
        <v>0</v>
      </c>
      <c r="N43" s="170" t="s">
        <v>2826</v>
      </c>
      <c r="O43" s="170" t="s">
        <v>3010</v>
      </c>
      <c r="P43" s="268" t="s">
        <v>1854</v>
      </c>
      <c r="Q43" s="170" t="s">
        <v>3010</v>
      </c>
      <c r="R43" s="267"/>
    </row>
    <row r="44" spans="1:18" ht="17.25" x14ac:dyDescent="0.25">
      <c r="A44" s="144">
        <v>40</v>
      </c>
      <c r="B44" s="163" t="s">
        <v>473</v>
      </c>
      <c r="C44" s="173">
        <v>38.472000122070313</v>
      </c>
      <c r="D44" s="168">
        <v>6.4000000953674316</v>
      </c>
      <c r="E44" s="171">
        <v>7.4320001602172852</v>
      </c>
      <c r="F44" s="146" t="s">
        <v>147</v>
      </c>
      <c r="G44" s="169">
        <v>0.87</v>
      </c>
      <c r="H44" s="147">
        <v>0.9991033673286438</v>
      </c>
      <c r="I44" s="84">
        <v>0</v>
      </c>
      <c r="J44" s="84">
        <v>0</v>
      </c>
      <c r="K44" s="84"/>
      <c r="L44" s="84">
        <v>0</v>
      </c>
      <c r="M44" s="84">
        <v>0</v>
      </c>
      <c r="N44" s="170" t="s">
        <v>3061</v>
      </c>
      <c r="O44" s="170" t="s">
        <v>3010</v>
      </c>
      <c r="P44" s="268"/>
      <c r="Q44" s="170" t="s">
        <v>3010</v>
      </c>
      <c r="R44" s="267"/>
    </row>
    <row r="45" spans="1:18" ht="17.25" x14ac:dyDescent="0.25">
      <c r="A45" s="144">
        <v>41</v>
      </c>
      <c r="B45" s="163" t="s">
        <v>475</v>
      </c>
      <c r="C45" s="173">
        <v>8.609999786131084E-4</v>
      </c>
      <c r="D45" s="168">
        <v>5.4000000953674316</v>
      </c>
      <c r="E45" s="171">
        <v>80</v>
      </c>
      <c r="F45" s="146" t="s">
        <v>147</v>
      </c>
      <c r="G45" s="169">
        <v>0.8</v>
      </c>
      <c r="H45" s="147">
        <v>3.5488449157128343E-6</v>
      </c>
      <c r="I45" s="84">
        <v>0</v>
      </c>
      <c r="J45" s="84">
        <v>0</v>
      </c>
      <c r="K45" s="84"/>
      <c r="L45" s="84">
        <v>0</v>
      </c>
      <c r="M45" s="172">
        <v>1.6499999999999999E-8</v>
      </c>
      <c r="N45" s="170" t="s">
        <v>3010</v>
      </c>
      <c r="O45" s="170" t="s">
        <v>3010</v>
      </c>
      <c r="P45" s="268"/>
      <c r="Q45" s="268"/>
      <c r="R45" s="267"/>
    </row>
    <row r="46" spans="1:18" ht="17.25" x14ac:dyDescent="0.25">
      <c r="A46" s="144">
        <v>42</v>
      </c>
      <c r="B46" s="163" t="s">
        <v>477</v>
      </c>
      <c r="C46" s="173">
        <v>4.216466550133191E-5</v>
      </c>
      <c r="D46" s="168">
        <v>5.4000000953674316</v>
      </c>
      <c r="E46" s="171">
        <v>80</v>
      </c>
      <c r="F46" s="146" t="s">
        <v>147</v>
      </c>
      <c r="G46" s="169">
        <v>0.8</v>
      </c>
      <c r="H46" s="147">
        <v>0</v>
      </c>
      <c r="I46" s="84">
        <v>0</v>
      </c>
      <c r="J46" s="84">
        <v>0</v>
      </c>
      <c r="K46" s="84"/>
      <c r="L46" s="84">
        <v>0</v>
      </c>
      <c r="M46" s="84">
        <v>0</v>
      </c>
      <c r="N46" s="170" t="s">
        <v>3010</v>
      </c>
      <c r="O46" s="170" t="s">
        <v>3010</v>
      </c>
      <c r="P46" s="268"/>
      <c r="Q46" s="268"/>
      <c r="R46" s="267"/>
    </row>
    <row r="47" spans="1:18" ht="17.25" x14ac:dyDescent="0.25">
      <c r="A47" s="144">
        <v>43</v>
      </c>
      <c r="B47" s="163" t="s">
        <v>479</v>
      </c>
      <c r="C47" s="173">
        <v>1.9600000086938962E-5</v>
      </c>
      <c r="D47" s="168">
        <v>5.4000000953674316</v>
      </c>
      <c r="E47" s="171">
        <v>80</v>
      </c>
      <c r="F47" s="146" t="s">
        <v>147</v>
      </c>
      <c r="G47" s="169">
        <v>0.8</v>
      </c>
      <c r="H47" s="147">
        <v>0</v>
      </c>
      <c r="I47" s="84">
        <v>0</v>
      </c>
      <c r="J47" s="84">
        <v>0</v>
      </c>
      <c r="K47" s="84"/>
      <c r="L47" s="84">
        <v>0</v>
      </c>
      <c r="M47" s="84">
        <v>0</v>
      </c>
      <c r="N47" s="170" t="s">
        <v>3010</v>
      </c>
      <c r="O47" s="170" t="s">
        <v>3010</v>
      </c>
      <c r="P47" s="268"/>
      <c r="Q47" s="268"/>
      <c r="R47" s="267"/>
    </row>
    <row r="48" spans="1:18" ht="14.45" customHeight="1" x14ac:dyDescent="0.25">
      <c r="A48" s="144">
        <v>44</v>
      </c>
      <c r="B48" s="163" t="s">
        <v>481</v>
      </c>
      <c r="C48" s="173">
        <v>2.0046918652951717E-3</v>
      </c>
      <c r="D48" s="168">
        <v>0.19200000166893005</v>
      </c>
      <c r="E48" s="171">
        <v>3.5</v>
      </c>
      <c r="F48" s="146" t="s">
        <v>147</v>
      </c>
      <c r="G48" s="169">
        <v>0.8</v>
      </c>
      <c r="H48" s="147">
        <v>6.1834109947085381E-3</v>
      </c>
      <c r="I48" s="84">
        <v>0</v>
      </c>
      <c r="J48" s="84">
        <v>0</v>
      </c>
      <c r="K48" s="84"/>
      <c r="L48" s="84">
        <v>0</v>
      </c>
      <c r="M48" s="172">
        <v>2.3800000000000001E-6</v>
      </c>
      <c r="N48" s="170" t="s">
        <v>3010</v>
      </c>
      <c r="O48" s="170" t="s">
        <v>3010</v>
      </c>
      <c r="P48" s="268"/>
      <c r="Q48" s="268"/>
      <c r="R48" s="267"/>
    </row>
    <row r="49" spans="1:18" ht="17.25" x14ac:dyDescent="0.25">
      <c r="A49" s="144">
        <v>45</v>
      </c>
      <c r="B49" s="163" t="s">
        <v>483</v>
      </c>
      <c r="C49" s="173">
        <v>9.8629592685028911E-5</v>
      </c>
      <c r="D49" s="168">
        <v>0.19200000166893005</v>
      </c>
      <c r="E49" s="171">
        <v>3.5</v>
      </c>
      <c r="F49" s="146" t="s">
        <v>147</v>
      </c>
      <c r="G49" s="169">
        <v>0.8</v>
      </c>
      <c r="H49" s="147">
        <v>4.3090514838695526E-2</v>
      </c>
      <c r="I49" s="84">
        <v>0</v>
      </c>
      <c r="J49" s="84">
        <v>0</v>
      </c>
      <c r="K49" s="84"/>
      <c r="L49" s="84">
        <v>0</v>
      </c>
      <c r="M49" s="172">
        <v>8.16E-7</v>
      </c>
      <c r="N49" s="170" t="s">
        <v>3010</v>
      </c>
      <c r="O49" s="170" t="s">
        <v>3010</v>
      </c>
      <c r="P49" s="268"/>
      <c r="Q49" s="268"/>
      <c r="R49" s="267"/>
    </row>
    <row r="50" spans="1:18" ht="17.25" x14ac:dyDescent="0.25">
      <c r="A50" s="144">
        <v>46</v>
      </c>
      <c r="B50" s="163" t="s">
        <v>638</v>
      </c>
      <c r="C50" s="173">
        <v>6.8774999817833304E-5</v>
      </c>
      <c r="D50" s="168">
        <v>0.19200000166893005</v>
      </c>
      <c r="E50" s="171">
        <v>3.5</v>
      </c>
      <c r="F50" s="146" t="s">
        <v>147</v>
      </c>
      <c r="G50" s="169">
        <v>0.8</v>
      </c>
      <c r="H50" s="147">
        <v>0.90118741989135742</v>
      </c>
      <c r="I50" s="84">
        <v>0</v>
      </c>
      <c r="J50" s="84">
        <v>0</v>
      </c>
      <c r="K50" s="84"/>
      <c r="L50" s="84">
        <v>0</v>
      </c>
      <c r="M50" s="172">
        <v>1.19E-5</v>
      </c>
      <c r="N50" s="170" t="s">
        <v>3010</v>
      </c>
      <c r="O50" s="170" t="s">
        <v>3010</v>
      </c>
      <c r="P50" s="268"/>
      <c r="Q50" s="268"/>
      <c r="R50" s="267"/>
    </row>
    <row r="51" spans="1:18" ht="17.25" x14ac:dyDescent="0.25">
      <c r="A51" s="144">
        <v>47</v>
      </c>
      <c r="B51" s="163" t="s">
        <v>487</v>
      </c>
      <c r="C51" s="173">
        <v>7.6199998147785664E-4</v>
      </c>
      <c r="D51" s="168">
        <v>0.19200000166893005</v>
      </c>
      <c r="E51" s="171">
        <v>3.5</v>
      </c>
      <c r="F51" s="146" t="s">
        <v>147</v>
      </c>
      <c r="G51" s="169">
        <v>0.8</v>
      </c>
      <c r="H51" s="147">
        <v>4.0395341813564301E-2</v>
      </c>
      <c r="I51" s="84">
        <v>0</v>
      </c>
      <c r="J51" s="84">
        <v>0</v>
      </c>
      <c r="K51" s="84"/>
      <c r="L51" s="84">
        <v>0</v>
      </c>
      <c r="M51" s="172">
        <v>5.9100000000000002E-6</v>
      </c>
      <c r="N51" s="170" t="s">
        <v>3010</v>
      </c>
      <c r="O51" s="170" t="s">
        <v>3010</v>
      </c>
      <c r="P51" s="268"/>
      <c r="Q51" s="268"/>
      <c r="R51" s="267"/>
    </row>
    <row r="52" spans="1:18" ht="17.25" x14ac:dyDescent="0.25">
      <c r="A52" s="144">
        <v>48</v>
      </c>
      <c r="B52" s="163" t="s">
        <v>489</v>
      </c>
      <c r="C52" s="173">
        <v>4.0699560195207596E-2</v>
      </c>
      <c r="D52" s="168">
        <v>0.10000000149011612</v>
      </c>
      <c r="E52" s="171">
        <v>24.979999542236328</v>
      </c>
      <c r="F52" s="146" t="s">
        <v>147</v>
      </c>
      <c r="G52" s="169">
        <v>0.8</v>
      </c>
      <c r="H52" s="147">
        <v>0.15240000188350677</v>
      </c>
      <c r="I52" s="84">
        <v>0</v>
      </c>
      <c r="J52" s="84">
        <v>0</v>
      </c>
      <c r="K52" s="84"/>
      <c r="L52" s="84">
        <v>0</v>
      </c>
      <c r="M52" s="172">
        <v>5.9100000000000002E-6</v>
      </c>
      <c r="N52" s="170" t="s">
        <v>2855</v>
      </c>
      <c r="O52" s="170" t="s">
        <v>3019</v>
      </c>
      <c r="P52" s="268"/>
      <c r="Q52" s="268"/>
      <c r="R52" s="267"/>
    </row>
    <row r="53" spans="1:18" ht="30" x14ac:dyDescent="0.25">
      <c r="A53" s="144">
        <v>49</v>
      </c>
      <c r="B53" s="163" t="s">
        <v>356</v>
      </c>
      <c r="C53" s="173">
        <v>8.7754358537495136E-4</v>
      </c>
      <c r="D53" s="168">
        <v>4.6999998390674591E-2</v>
      </c>
      <c r="E53" s="171">
        <v>6.6090002059936523</v>
      </c>
      <c r="F53" s="146" t="s">
        <v>147</v>
      </c>
      <c r="G53" s="169">
        <v>0.8</v>
      </c>
      <c r="H53" s="147">
        <v>6.4493373036384583E-2</v>
      </c>
      <c r="I53" s="84">
        <v>0</v>
      </c>
      <c r="J53" s="84">
        <v>0</v>
      </c>
      <c r="K53" s="84"/>
      <c r="L53" s="84">
        <v>0</v>
      </c>
      <c r="M53" s="172">
        <v>2.6599999999999999E-6</v>
      </c>
      <c r="N53" s="170" t="s">
        <v>3012</v>
      </c>
      <c r="O53" s="170" t="s">
        <v>3020</v>
      </c>
      <c r="P53" s="268"/>
      <c r="Q53" s="268"/>
      <c r="R53" s="267"/>
    </row>
    <row r="54" spans="1:18" ht="17.25" x14ac:dyDescent="0.25">
      <c r="A54" s="144">
        <v>50</v>
      </c>
      <c r="B54" s="163" t="s">
        <v>357</v>
      </c>
      <c r="C54" s="173">
        <v>3.3884374715853482E-5</v>
      </c>
      <c r="D54" s="168">
        <v>3.7999998778104782E-2</v>
      </c>
      <c r="E54" s="171">
        <v>7.570000171661377</v>
      </c>
      <c r="F54" s="146" t="s">
        <v>147</v>
      </c>
      <c r="G54" s="169">
        <v>0.8</v>
      </c>
      <c r="H54" s="147">
        <v>0</v>
      </c>
      <c r="I54" s="84">
        <v>0</v>
      </c>
      <c r="J54" s="84">
        <v>0</v>
      </c>
      <c r="K54" s="84"/>
      <c r="L54" s="84">
        <v>0</v>
      </c>
      <c r="M54" s="84">
        <v>0</v>
      </c>
      <c r="N54" s="170" t="s">
        <v>3013</v>
      </c>
      <c r="O54" s="170" t="s">
        <v>3021</v>
      </c>
      <c r="P54" s="268"/>
      <c r="Q54" s="268"/>
      <c r="R54" s="267"/>
    </row>
    <row r="55" spans="1:18" ht="17.25" x14ac:dyDescent="0.25">
      <c r="A55" s="144">
        <v>51</v>
      </c>
      <c r="B55" s="163" t="s">
        <v>679</v>
      </c>
      <c r="C55" s="173">
        <v>5</v>
      </c>
      <c r="D55" s="145" t="s">
        <v>147</v>
      </c>
      <c r="E55" s="145" t="s">
        <v>147</v>
      </c>
      <c r="F55" s="146" t="s">
        <v>147</v>
      </c>
      <c r="G55" s="169">
        <v>1</v>
      </c>
      <c r="H55" s="147">
        <v>0.90029865503311157</v>
      </c>
      <c r="I55" s="84">
        <v>0</v>
      </c>
      <c r="J55" s="84">
        <v>0</v>
      </c>
      <c r="K55" s="84"/>
      <c r="L55" s="84">
        <v>0</v>
      </c>
      <c r="M55" s="84">
        <v>0</v>
      </c>
      <c r="N55" s="170"/>
      <c r="O55" s="170"/>
      <c r="P55" s="268"/>
      <c r="Q55" s="268"/>
      <c r="R55" s="170" t="s">
        <v>2838</v>
      </c>
    </row>
    <row r="56" spans="1:18" ht="17.25" x14ac:dyDescent="0.25">
      <c r="A56" s="144">
        <v>52</v>
      </c>
      <c r="B56" s="163" t="s">
        <v>5</v>
      </c>
      <c r="C56" s="173">
        <v>1.9779600203037262E-2</v>
      </c>
      <c r="D56" s="145" t="s">
        <v>147</v>
      </c>
      <c r="E56" s="145" t="s">
        <v>147</v>
      </c>
      <c r="F56" s="146" t="s">
        <v>147</v>
      </c>
      <c r="G56" s="169">
        <v>1</v>
      </c>
      <c r="H56" s="147">
        <v>0.89123433828353882</v>
      </c>
      <c r="I56" s="84">
        <v>0</v>
      </c>
      <c r="J56" s="84">
        <v>0</v>
      </c>
      <c r="K56" s="84"/>
      <c r="L56" s="84">
        <v>0</v>
      </c>
      <c r="M56" s="84">
        <v>0</v>
      </c>
      <c r="N56" s="170"/>
      <c r="O56" s="170"/>
      <c r="P56" s="268"/>
      <c r="Q56" s="268"/>
      <c r="R56" s="170" t="s">
        <v>2838</v>
      </c>
    </row>
    <row r="57" spans="1:18" ht="17.25" x14ac:dyDescent="0.25">
      <c r="A57" s="144">
        <v>53</v>
      </c>
      <c r="B57" s="163" t="s">
        <v>680</v>
      </c>
      <c r="C57" s="173">
        <v>5.000000074505806E-2</v>
      </c>
      <c r="D57" s="145" t="s">
        <v>147</v>
      </c>
      <c r="E57" s="145" t="s">
        <v>147</v>
      </c>
      <c r="F57" s="146" t="s">
        <v>147</v>
      </c>
      <c r="G57" s="169">
        <v>1</v>
      </c>
      <c r="H57" s="147">
        <v>0</v>
      </c>
      <c r="I57" s="84">
        <v>0</v>
      </c>
      <c r="J57" s="84">
        <v>0</v>
      </c>
      <c r="K57" s="84"/>
      <c r="L57" s="84">
        <v>0</v>
      </c>
      <c r="M57" s="84">
        <v>0</v>
      </c>
      <c r="N57" s="170"/>
      <c r="O57" s="170"/>
      <c r="P57" s="268"/>
      <c r="Q57" s="268"/>
      <c r="R57" s="170" t="s">
        <v>2838</v>
      </c>
    </row>
    <row r="58" spans="1:18" ht="18" thickBot="1" x14ac:dyDescent="0.3">
      <c r="A58" s="148">
        <v>54</v>
      </c>
      <c r="B58" s="166" t="s">
        <v>681</v>
      </c>
      <c r="C58" s="259">
        <v>15</v>
      </c>
      <c r="D58" s="149" t="s">
        <v>147</v>
      </c>
      <c r="E58" s="149" t="s">
        <v>147</v>
      </c>
      <c r="F58" s="150" t="s">
        <v>147</v>
      </c>
      <c r="G58" s="174">
        <v>1</v>
      </c>
      <c r="H58" s="151">
        <v>0.30871424078941345</v>
      </c>
      <c r="I58" s="86">
        <v>0</v>
      </c>
      <c r="J58" s="86">
        <v>0</v>
      </c>
      <c r="K58" s="86"/>
      <c r="L58" s="86">
        <v>0</v>
      </c>
      <c r="M58" s="86">
        <v>0</v>
      </c>
      <c r="N58" s="160"/>
      <c r="O58" s="160"/>
      <c r="P58" s="226"/>
      <c r="Q58" s="226"/>
      <c r="R58" s="160" t="s">
        <v>2838</v>
      </c>
    </row>
    <row r="63" spans="1:18" x14ac:dyDescent="0.25">
      <c r="N63" s="175"/>
    </row>
    <row r="64" spans="1:18" x14ac:dyDescent="0.25">
      <c r="N64" s="228"/>
    </row>
    <row r="65" spans="14:14" x14ac:dyDescent="0.25">
      <c r="N65" s="175"/>
    </row>
    <row r="66" spans="14:14" x14ac:dyDescent="0.25">
      <c r="N66" s="178"/>
    </row>
    <row r="67" spans="14:14" x14ac:dyDescent="0.25">
      <c r="N67" s="178"/>
    </row>
    <row r="68" spans="14:14" x14ac:dyDescent="0.25">
      <c r="N68" s="175"/>
    </row>
    <row r="69" spans="14:14" x14ac:dyDescent="0.25">
      <c r="N69" s="175"/>
    </row>
    <row r="70" spans="14:14" x14ac:dyDescent="0.25">
      <c r="N70" s="175"/>
    </row>
    <row r="71" spans="14:14" x14ac:dyDescent="0.25">
      <c r="N71" s="175"/>
    </row>
    <row r="72" spans="14:14" x14ac:dyDescent="0.25">
      <c r="N72" s="175"/>
    </row>
    <row r="73" spans="14:14" x14ac:dyDescent="0.25">
      <c r="N73" s="175"/>
    </row>
    <row r="77" spans="14:14" x14ac:dyDescent="0.25">
      <c r="N77" s="170"/>
    </row>
    <row r="81" spans="14:14" x14ac:dyDescent="0.25">
      <c r="N81" s="157"/>
    </row>
    <row r="83" spans="14:14" x14ac:dyDescent="0.25">
      <c r="N83" s="158"/>
    </row>
    <row r="84" spans="14:14" x14ac:dyDescent="0.25">
      <c r="N84" s="158"/>
    </row>
    <row r="86" spans="14:14" x14ac:dyDescent="0.25">
      <c r="N86" s="157"/>
    </row>
  </sheetData>
  <mergeCells count="3">
    <mergeCell ref="I3:J3"/>
    <mergeCell ref="L3:M3"/>
    <mergeCell ref="A1:M2"/>
  </mergeCells>
  <conditionalFormatting sqref="C5:H58">
    <cfRule type="cellIs" dxfId="13" priority="1" operator="equal">
      <formula>0</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61"/>
  <sheetViews>
    <sheetView workbookViewId="0">
      <pane xSplit="2" ySplit="4" topLeftCell="J5" activePane="bottomRight" state="frozen"/>
      <selection pane="topRight" activeCell="C1" sqref="C1"/>
      <selection pane="bottomLeft" activeCell="A5" sqref="A5"/>
      <selection pane="bottomRight" activeCell="Q4" sqref="Q4"/>
    </sheetView>
  </sheetViews>
  <sheetFormatPr defaultColWidth="15.28515625" defaultRowHeight="15" x14ac:dyDescent="0.25"/>
  <cols>
    <col min="1" max="1" width="6.140625" style="106" customWidth="1"/>
    <col min="2" max="2" width="25.85546875" style="91" customWidth="1"/>
    <col min="3" max="16384" width="15.28515625" style="91"/>
  </cols>
  <sheetData>
    <row r="1" spans="1:54" ht="24.75" customHeight="1" x14ac:dyDescent="0.25">
      <c r="A1" s="440" t="s">
        <v>2922</v>
      </c>
      <c r="B1" s="440"/>
      <c r="C1" s="440"/>
      <c r="D1" s="440"/>
      <c r="E1" s="440"/>
      <c r="F1" s="440"/>
      <c r="G1" s="440"/>
      <c r="H1" s="440"/>
      <c r="I1" s="440"/>
      <c r="J1" s="440"/>
      <c r="K1" s="440"/>
      <c r="L1" s="440"/>
      <c r="M1" s="440"/>
      <c r="N1" s="440"/>
      <c r="O1" s="440"/>
      <c r="P1" s="440"/>
      <c r="Q1" s="440"/>
      <c r="R1" s="440"/>
      <c r="S1" s="440"/>
      <c r="T1" s="440"/>
      <c r="U1" s="440"/>
      <c r="V1" s="440"/>
      <c r="W1" s="440"/>
      <c r="X1" s="440"/>
      <c r="Y1" s="440"/>
      <c r="Z1" s="440"/>
      <c r="AA1" s="440"/>
      <c r="AB1" s="440"/>
      <c r="AC1" s="440"/>
      <c r="AD1" s="440"/>
      <c r="AE1" s="440"/>
      <c r="AF1" s="440"/>
      <c r="AG1" s="440"/>
      <c r="AH1" s="440"/>
      <c r="AI1" s="440"/>
      <c r="AJ1" s="440"/>
      <c r="AK1" s="440"/>
      <c r="AL1" s="440"/>
      <c r="AM1" s="440"/>
      <c r="AN1" s="440"/>
      <c r="AO1" s="440"/>
      <c r="AP1" s="440"/>
      <c r="AQ1" s="440"/>
      <c r="AR1" s="440"/>
      <c r="AS1" s="440"/>
      <c r="AT1" s="440"/>
      <c r="AU1" s="440"/>
      <c r="AV1" s="440"/>
      <c r="AW1" s="440"/>
      <c r="AX1" s="440"/>
      <c r="AY1" s="440"/>
      <c r="AZ1" s="440"/>
      <c r="BA1" s="440"/>
      <c r="BB1" s="440"/>
    </row>
    <row r="2" spans="1:54" x14ac:dyDescent="0.25">
      <c r="A2" s="96"/>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row>
    <row r="3" spans="1:54" x14ac:dyDescent="0.25">
      <c r="A3" s="416"/>
      <c r="B3" s="417"/>
      <c r="C3" s="418" t="s">
        <v>3065</v>
      </c>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418"/>
      <c r="AF3" s="418"/>
      <c r="AG3" s="418"/>
      <c r="AH3" s="418"/>
      <c r="AI3" s="418"/>
      <c r="AJ3" s="418"/>
      <c r="AK3" s="418"/>
      <c r="AL3" s="418"/>
      <c r="AM3" s="418"/>
      <c r="AN3" s="418"/>
      <c r="AO3" s="418"/>
      <c r="AP3" s="418"/>
      <c r="AQ3" s="418"/>
      <c r="AR3" s="418"/>
      <c r="AS3" s="418"/>
      <c r="AT3" s="418"/>
      <c r="AU3" s="418"/>
      <c r="AV3" s="418"/>
      <c r="AW3" s="418"/>
      <c r="AX3" s="418"/>
      <c r="AY3" s="418"/>
      <c r="AZ3" s="418"/>
      <c r="BA3" s="418"/>
      <c r="BB3" s="418"/>
    </row>
    <row r="4" spans="1:54" s="98" customFormat="1" ht="35.25" customHeight="1" x14ac:dyDescent="0.25">
      <c r="A4" s="97" t="s">
        <v>345</v>
      </c>
      <c r="B4" s="93" t="s">
        <v>3066</v>
      </c>
      <c r="C4" s="93" t="s">
        <v>676</v>
      </c>
      <c r="D4" s="93" t="s">
        <v>721</v>
      </c>
      <c r="E4" s="93" t="s">
        <v>722</v>
      </c>
      <c r="F4" s="93" t="s">
        <v>1</v>
      </c>
      <c r="G4" s="93" t="s">
        <v>723</v>
      </c>
      <c r="H4" s="93" t="s">
        <v>7</v>
      </c>
      <c r="I4" s="93" t="s">
        <v>395</v>
      </c>
      <c r="J4" s="93" t="s">
        <v>724</v>
      </c>
      <c r="K4" s="93" t="s">
        <v>10</v>
      </c>
      <c r="L4" s="93" t="s">
        <v>725</v>
      </c>
      <c r="M4" s="93" t="s">
        <v>401</v>
      </c>
      <c r="N4" s="93" t="s">
        <v>405</v>
      </c>
      <c r="O4" s="93" t="s">
        <v>726</v>
      </c>
      <c r="P4" s="93" t="s">
        <v>411</v>
      </c>
      <c r="Q4" s="93" t="s">
        <v>415</v>
      </c>
      <c r="R4" s="93" t="s">
        <v>358</v>
      </c>
      <c r="S4" s="93" t="s">
        <v>546</v>
      </c>
      <c r="T4" s="93" t="s">
        <v>424</v>
      </c>
      <c r="U4" s="93" t="s">
        <v>427</v>
      </c>
      <c r="V4" s="93" t="s">
        <v>556</v>
      </c>
      <c r="W4" s="93" t="s">
        <v>433</v>
      </c>
      <c r="X4" s="93" t="s">
        <v>436</v>
      </c>
      <c r="Y4" s="93" t="s">
        <v>438</v>
      </c>
      <c r="Z4" s="93" t="s">
        <v>442</v>
      </c>
      <c r="AA4" s="93" t="s">
        <v>444</v>
      </c>
      <c r="AB4" s="93" t="s">
        <v>447</v>
      </c>
      <c r="AC4" s="93" t="s">
        <v>450</v>
      </c>
      <c r="AD4" s="93" t="s">
        <v>453</v>
      </c>
      <c r="AE4" s="93" t="s">
        <v>456</v>
      </c>
      <c r="AF4" s="93" t="s">
        <v>459</v>
      </c>
      <c r="AG4" s="93" t="s">
        <v>461</v>
      </c>
      <c r="AH4" s="93" t="s">
        <v>463</v>
      </c>
      <c r="AI4" s="93" t="s">
        <v>100</v>
      </c>
      <c r="AJ4" s="93" t="s">
        <v>467</v>
      </c>
      <c r="AK4" s="93" t="s">
        <v>469</v>
      </c>
      <c r="AL4" s="93" t="s">
        <v>470</v>
      </c>
      <c r="AM4" s="93" t="s">
        <v>471</v>
      </c>
      <c r="AN4" s="93" t="s">
        <v>473</v>
      </c>
      <c r="AO4" s="93" t="s">
        <v>475</v>
      </c>
      <c r="AP4" s="93" t="s">
        <v>477</v>
      </c>
      <c r="AQ4" s="93" t="s">
        <v>479</v>
      </c>
      <c r="AR4" s="93" t="s">
        <v>481</v>
      </c>
      <c r="AS4" s="93" t="s">
        <v>483</v>
      </c>
      <c r="AT4" s="93" t="s">
        <v>638</v>
      </c>
      <c r="AU4" s="93" t="s">
        <v>487</v>
      </c>
      <c r="AV4" s="93" t="s">
        <v>489</v>
      </c>
      <c r="AW4" s="93" t="s">
        <v>356</v>
      </c>
      <c r="AX4" s="93" t="s">
        <v>357</v>
      </c>
      <c r="AY4" s="93" t="s">
        <v>679</v>
      </c>
      <c r="AZ4" s="93" t="s">
        <v>5</v>
      </c>
      <c r="BA4" s="93" t="s">
        <v>727</v>
      </c>
      <c r="BB4" s="93" t="s">
        <v>681</v>
      </c>
    </row>
    <row r="5" spans="1:54" x14ac:dyDescent="0.25">
      <c r="A5" s="96">
        <v>1</v>
      </c>
      <c r="B5" s="95" t="s">
        <v>353</v>
      </c>
      <c r="C5" s="94">
        <v>0.6</v>
      </c>
      <c r="D5" s="94">
        <v>0.6</v>
      </c>
      <c r="E5" s="94">
        <v>0.26</v>
      </c>
      <c r="F5" s="94">
        <v>5.7500000000000002E-2</v>
      </c>
      <c r="G5" s="94">
        <v>0.32</v>
      </c>
      <c r="H5" s="94">
        <v>0</v>
      </c>
      <c r="I5" s="94">
        <v>0.04</v>
      </c>
      <c r="J5" s="94">
        <v>0</v>
      </c>
      <c r="K5" s="94">
        <v>0.45</v>
      </c>
      <c r="L5" s="94">
        <v>0</v>
      </c>
      <c r="M5" s="94">
        <v>0</v>
      </c>
      <c r="N5" s="94">
        <v>0</v>
      </c>
      <c r="O5" s="94">
        <v>0</v>
      </c>
      <c r="P5" s="94">
        <v>0</v>
      </c>
      <c r="Q5" s="94">
        <v>8.3000000000000001E-4</v>
      </c>
      <c r="R5" s="94">
        <v>0.39700000000000002</v>
      </c>
      <c r="S5" s="94">
        <v>7.41666666666667E-2</v>
      </c>
      <c r="T5" s="94">
        <v>0</v>
      </c>
      <c r="U5" s="94">
        <v>0</v>
      </c>
      <c r="V5" s="94">
        <v>0</v>
      </c>
      <c r="W5" s="94">
        <v>0</v>
      </c>
      <c r="X5" s="94">
        <v>0</v>
      </c>
      <c r="Y5" s="94">
        <v>0</v>
      </c>
      <c r="Z5" s="94">
        <v>0</v>
      </c>
      <c r="AA5" s="94">
        <v>0</v>
      </c>
      <c r="AB5" s="94">
        <v>0</v>
      </c>
      <c r="AC5" s="94">
        <v>0</v>
      </c>
      <c r="AD5" s="94">
        <v>0</v>
      </c>
      <c r="AE5" s="94">
        <v>0</v>
      </c>
      <c r="AF5" s="94">
        <v>0</v>
      </c>
      <c r="AG5" s="94">
        <v>7.5052664502164509E-3</v>
      </c>
      <c r="AH5" s="94">
        <v>0</v>
      </c>
      <c r="AI5" s="94">
        <v>0</v>
      </c>
      <c r="AJ5" s="94">
        <v>0</v>
      </c>
      <c r="AK5" s="94">
        <v>0.43</v>
      </c>
      <c r="AL5" s="94">
        <v>1.7857142857142901E-2</v>
      </c>
      <c r="AM5" s="94">
        <v>0.18667</v>
      </c>
      <c r="AN5" s="94">
        <v>0.11777777777777779</v>
      </c>
      <c r="AO5" s="94">
        <v>0</v>
      </c>
      <c r="AP5" s="94">
        <v>0</v>
      </c>
      <c r="AQ5" s="94">
        <v>0</v>
      </c>
      <c r="AR5" s="94">
        <v>0</v>
      </c>
      <c r="AS5" s="94">
        <v>0</v>
      </c>
      <c r="AT5" s="94">
        <v>0</v>
      </c>
      <c r="AU5" s="94">
        <v>0</v>
      </c>
      <c r="AV5" s="94">
        <v>0</v>
      </c>
      <c r="AW5" s="94">
        <v>0</v>
      </c>
      <c r="AX5" s="94">
        <v>0</v>
      </c>
      <c r="AY5" s="94">
        <v>0</v>
      </c>
      <c r="AZ5" s="94">
        <v>0</v>
      </c>
      <c r="BA5" s="94">
        <v>0</v>
      </c>
      <c r="BB5" s="94">
        <v>0</v>
      </c>
    </row>
    <row r="6" spans="1:54" x14ac:dyDescent="0.25">
      <c r="A6" s="96">
        <v>2</v>
      </c>
      <c r="B6" s="95" t="s">
        <v>675</v>
      </c>
      <c r="C6" s="94">
        <v>0</v>
      </c>
      <c r="D6" s="94">
        <v>0</v>
      </c>
      <c r="E6" s="94">
        <v>0</v>
      </c>
      <c r="F6" s="94">
        <v>0</v>
      </c>
      <c r="G6" s="94">
        <v>0</v>
      </c>
      <c r="H6" s="94">
        <v>0</v>
      </c>
      <c r="I6" s="94">
        <v>0.08</v>
      </c>
      <c r="J6" s="94">
        <v>0</v>
      </c>
      <c r="K6" s="94">
        <v>0</v>
      </c>
      <c r="L6" s="94">
        <v>0</v>
      </c>
      <c r="M6" s="94">
        <v>0</v>
      </c>
      <c r="N6" s="94">
        <v>0</v>
      </c>
      <c r="O6" s="94">
        <v>0</v>
      </c>
      <c r="P6" s="94">
        <v>2.3525000000000001E-2</v>
      </c>
      <c r="Q6" s="94">
        <v>4.79E-3</v>
      </c>
      <c r="R6" s="94">
        <v>0</v>
      </c>
      <c r="S6" s="94">
        <v>0.461716666666667</v>
      </c>
      <c r="T6" s="94">
        <v>0</v>
      </c>
      <c r="U6" s="94">
        <v>5.4444444444444401E-3</v>
      </c>
      <c r="V6" s="94">
        <v>2.2222222222222199E-4</v>
      </c>
      <c r="W6" s="94">
        <v>0</v>
      </c>
      <c r="X6" s="94">
        <v>8.0000000000000004E-4</v>
      </c>
      <c r="Y6" s="94">
        <v>0</v>
      </c>
      <c r="Z6" s="94">
        <v>2.3333333333333301E-3</v>
      </c>
      <c r="AA6" s="94">
        <v>4.4477303648732217E-2</v>
      </c>
      <c r="AB6" s="94">
        <v>0</v>
      </c>
      <c r="AC6" s="94">
        <v>2.7785714285714299E-2</v>
      </c>
      <c r="AD6" s="94">
        <v>0</v>
      </c>
      <c r="AE6" s="94">
        <v>0.36803030666666697</v>
      </c>
      <c r="AF6" s="94">
        <v>0</v>
      </c>
      <c r="AG6" s="94">
        <v>6.0049307359307351E-2</v>
      </c>
      <c r="AH6" s="94">
        <v>0</v>
      </c>
      <c r="AI6" s="94">
        <v>0</v>
      </c>
      <c r="AJ6" s="94">
        <v>0</v>
      </c>
      <c r="AK6" s="94">
        <v>0.4325</v>
      </c>
      <c r="AL6" s="94">
        <v>0.30214285714285699</v>
      </c>
      <c r="AM6" s="94">
        <v>0.4</v>
      </c>
      <c r="AN6" s="94">
        <v>0.21077777777777779</v>
      </c>
      <c r="AO6" s="94">
        <v>0</v>
      </c>
      <c r="AP6" s="94">
        <v>0</v>
      </c>
      <c r="AQ6" s="94">
        <v>0</v>
      </c>
      <c r="AR6" s="94">
        <v>0.66999833333333303</v>
      </c>
      <c r="AS6" s="94">
        <v>3.6526785714285699E-2</v>
      </c>
      <c r="AT6" s="94">
        <v>2.5000000000000001E-3</v>
      </c>
      <c r="AU6" s="94">
        <v>0</v>
      </c>
      <c r="AV6" s="94">
        <v>0</v>
      </c>
      <c r="AW6" s="94">
        <v>0</v>
      </c>
      <c r="AX6" s="94">
        <v>0</v>
      </c>
      <c r="AY6" s="94">
        <v>0</v>
      </c>
      <c r="AZ6" s="94">
        <v>0</v>
      </c>
      <c r="BA6" s="94">
        <v>0</v>
      </c>
      <c r="BB6" s="94">
        <v>0</v>
      </c>
    </row>
    <row r="7" spans="1:54" x14ac:dyDescent="0.25">
      <c r="A7" s="96">
        <f>A6+1</f>
        <v>3</v>
      </c>
      <c r="B7" s="95" t="s">
        <v>676</v>
      </c>
      <c r="C7" s="94">
        <v>0.15</v>
      </c>
      <c r="D7" s="94">
        <v>0.4</v>
      </c>
      <c r="E7" s="94">
        <v>0.35</v>
      </c>
      <c r="F7" s="94">
        <v>0</v>
      </c>
      <c r="G7" s="94">
        <v>0.23499999999999999</v>
      </c>
      <c r="H7" s="94">
        <v>0</v>
      </c>
      <c r="I7" s="94">
        <v>0</v>
      </c>
      <c r="J7" s="94">
        <v>6.8612500000000007E-2</v>
      </c>
      <c r="K7" s="94">
        <v>0.21199999999999999</v>
      </c>
      <c r="L7" s="94">
        <v>4.2056060606060638E-2</v>
      </c>
      <c r="M7" s="94">
        <v>0</v>
      </c>
      <c r="N7" s="94">
        <v>0</v>
      </c>
      <c r="O7" s="94">
        <v>0</v>
      </c>
      <c r="P7" s="94">
        <v>0</v>
      </c>
      <c r="Q7" s="94">
        <v>0</v>
      </c>
      <c r="R7" s="94">
        <v>0.17499999999999999</v>
      </c>
      <c r="S7" s="94">
        <v>0</v>
      </c>
      <c r="T7" s="94">
        <v>0</v>
      </c>
      <c r="U7" s="94">
        <v>0</v>
      </c>
      <c r="V7" s="94">
        <v>0</v>
      </c>
      <c r="W7" s="94">
        <v>0</v>
      </c>
      <c r="X7" s="94">
        <v>0</v>
      </c>
      <c r="Y7" s="94">
        <v>0</v>
      </c>
      <c r="Z7" s="94">
        <v>0</v>
      </c>
      <c r="AA7" s="94">
        <v>0</v>
      </c>
      <c r="AB7" s="94">
        <v>0</v>
      </c>
      <c r="AC7" s="94">
        <v>0</v>
      </c>
      <c r="AD7" s="94">
        <v>0</v>
      </c>
      <c r="AE7" s="94">
        <v>0</v>
      </c>
      <c r="AF7" s="94">
        <v>0</v>
      </c>
      <c r="AG7" s="94">
        <v>0</v>
      </c>
      <c r="AH7" s="94">
        <v>0</v>
      </c>
      <c r="AI7" s="94">
        <v>0</v>
      </c>
      <c r="AJ7" s="94">
        <v>0</v>
      </c>
      <c r="AK7" s="94">
        <v>0</v>
      </c>
      <c r="AL7" s="94">
        <v>0</v>
      </c>
      <c r="AM7" s="94">
        <v>0</v>
      </c>
      <c r="AN7" s="94">
        <v>0</v>
      </c>
      <c r="AO7" s="94">
        <v>0</v>
      </c>
      <c r="AP7" s="94">
        <v>0</v>
      </c>
      <c r="AQ7" s="94">
        <v>0</v>
      </c>
      <c r="AR7" s="94">
        <v>0</v>
      </c>
      <c r="AS7" s="94">
        <v>0</v>
      </c>
      <c r="AT7" s="94">
        <v>0</v>
      </c>
      <c r="AU7" s="94">
        <v>0</v>
      </c>
      <c r="AV7" s="94">
        <v>6.8033340000000003E-3</v>
      </c>
      <c r="AW7" s="94">
        <v>0</v>
      </c>
      <c r="AX7" s="94">
        <v>0</v>
      </c>
      <c r="AY7" s="94">
        <v>0</v>
      </c>
      <c r="AZ7" s="94">
        <v>0</v>
      </c>
      <c r="BA7" s="94">
        <v>0</v>
      </c>
      <c r="BB7" s="94">
        <v>0</v>
      </c>
    </row>
    <row r="8" spans="1:54" x14ac:dyDescent="0.25">
      <c r="A8" s="96">
        <f t="shared" ref="A8:A59" si="0">A7+1</f>
        <v>4</v>
      </c>
      <c r="B8" s="95" t="s">
        <v>721</v>
      </c>
      <c r="C8" s="94">
        <v>0</v>
      </c>
      <c r="D8" s="94">
        <v>0</v>
      </c>
      <c r="E8" s="94">
        <v>0</v>
      </c>
      <c r="F8" s="94">
        <v>0</v>
      </c>
      <c r="G8" s="94">
        <v>0</v>
      </c>
      <c r="H8" s="94">
        <v>0.23664285714285699</v>
      </c>
      <c r="I8" s="94">
        <v>0</v>
      </c>
      <c r="J8" s="94">
        <v>9.7704207564789008E-2</v>
      </c>
      <c r="K8" s="94">
        <v>0</v>
      </c>
      <c r="L8" s="94">
        <v>0.12364242424242433</v>
      </c>
      <c r="M8" s="94">
        <v>7.9233333333333295E-2</v>
      </c>
      <c r="N8" s="94">
        <v>0</v>
      </c>
      <c r="O8" s="94">
        <v>2.2155555555555557E-2</v>
      </c>
      <c r="P8" s="94">
        <v>0</v>
      </c>
      <c r="Q8" s="94">
        <v>5.6599999999999998E-2</v>
      </c>
      <c r="R8" s="94">
        <v>0</v>
      </c>
      <c r="S8" s="94">
        <v>0</v>
      </c>
      <c r="T8" s="94">
        <v>0.03</v>
      </c>
      <c r="U8" s="94">
        <v>1.01111111111111E-3</v>
      </c>
      <c r="V8" s="94">
        <v>0</v>
      </c>
      <c r="W8" s="94">
        <v>0.65</v>
      </c>
      <c r="X8" s="94">
        <v>0</v>
      </c>
      <c r="Y8" s="94">
        <v>0</v>
      </c>
      <c r="Z8" s="94">
        <v>0</v>
      </c>
      <c r="AA8" s="94">
        <v>0</v>
      </c>
      <c r="AB8" s="94">
        <v>0</v>
      </c>
      <c r="AC8" s="94">
        <v>0</v>
      </c>
      <c r="AD8" s="94">
        <v>0</v>
      </c>
      <c r="AE8" s="94">
        <v>4.7863639999999999E-2</v>
      </c>
      <c r="AF8" s="94">
        <v>0</v>
      </c>
      <c r="AG8" s="94">
        <v>1.9486580086580055E-2</v>
      </c>
      <c r="AH8" s="94">
        <v>0</v>
      </c>
      <c r="AI8" s="94">
        <v>0</v>
      </c>
      <c r="AJ8" s="94">
        <v>0</v>
      </c>
      <c r="AK8" s="94">
        <v>0</v>
      </c>
      <c r="AL8" s="94">
        <v>0</v>
      </c>
      <c r="AM8" s="94">
        <v>0</v>
      </c>
      <c r="AN8" s="94">
        <v>0</v>
      </c>
      <c r="AO8" s="94">
        <v>0</v>
      </c>
      <c r="AP8" s="94">
        <v>0</v>
      </c>
      <c r="AQ8" s="94">
        <v>0</v>
      </c>
      <c r="AR8" s="94">
        <v>0</v>
      </c>
      <c r="AS8" s="94">
        <v>0</v>
      </c>
      <c r="AT8" s="94">
        <v>0</v>
      </c>
      <c r="AU8" s="94">
        <v>0</v>
      </c>
      <c r="AV8" s="94">
        <v>0</v>
      </c>
      <c r="AW8" s="94">
        <v>0</v>
      </c>
      <c r="AX8" s="94">
        <v>0.2</v>
      </c>
      <c r="AY8" s="94">
        <v>0</v>
      </c>
      <c r="AZ8" s="94">
        <v>0</v>
      </c>
      <c r="BA8" s="94">
        <v>0</v>
      </c>
      <c r="BB8" s="94">
        <v>0</v>
      </c>
    </row>
    <row r="9" spans="1:54" x14ac:dyDescent="0.25">
      <c r="A9" s="96">
        <f t="shared" si="0"/>
        <v>5</v>
      </c>
      <c r="B9" s="95" t="s">
        <v>722</v>
      </c>
      <c r="C9" s="94">
        <v>0</v>
      </c>
      <c r="D9" s="94">
        <v>0</v>
      </c>
      <c r="E9" s="94">
        <v>0</v>
      </c>
      <c r="F9" s="94">
        <v>0.05</v>
      </c>
      <c r="G9" s="94">
        <v>0</v>
      </c>
      <c r="H9" s="94">
        <v>0.20557142857142899</v>
      </c>
      <c r="I9" s="94">
        <v>3.5000000000000003E-2</v>
      </c>
      <c r="J9" s="94">
        <v>4.0213219239648799E-3</v>
      </c>
      <c r="K9" s="94">
        <v>0.03</v>
      </c>
      <c r="L9" s="94">
        <v>6.7153636461444136E-2</v>
      </c>
      <c r="M9" s="94">
        <v>0.38850000000000001</v>
      </c>
      <c r="N9" s="94">
        <v>0</v>
      </c>
      <c r="O9" s="94">
        <v>0</v>
      </c>
      <c r="P9" s="94">
        <v>0</v>
      </c>
      <c r="Q9" s="94">
        <v>1.9560000000000001E-2</v>
      </c>
      <c r="R9" s="94">
        <v>0</v>
      </c>
      <c r="S9" s="94">
        <v>0</v>
      </c>
      <c r="T9" s="94">
        <v>0</v>
      </c>
      <c r="U9" s="94">
        <v>1.1111111111111099E-4</v>
      </c>
      <c r="V9" s="94">
        <v>0</v>
      </c>
      <c r="W9" s="94">
        <v>2.8233333333333301E-2</v>
      </c>
      <c r="X9" s="94">
        <v>1.7479999999999999E-2</v>
      </c>
      <c r="Y9" s="94">
        <v>0</v>
      </c>
      <c r="Z9" s="94">
        <v>0</v>
      </c>
      <c r="AA9" s="94">
        <v>0</v>
      </c>
      <c r="AB9" s="94">
        <v>0</v>
      </c>
      <c r="AC9" s="94">
        <v>8.5714285714285699E-5</v>
      </c>
      <c r="AD9" s="94">
        <v>0</v>
      </c>
      <c r="AE9" s="94">
        <v>4.7863639999999999E-2</v>
      </c>
      <c r="AF9" s="94">
        <v>0</v>
      </c>
      <c r="AG9" s="94">
        <v>1.461435735930736E-2</v>
      </c>
      <c r="AH9" s="94">
        <v>0</v>
      </c>
      <c r="AI9" s="94">
        <v>2.6083333333333333E-2</v>
      </c>
      <c r="AJ9" s="94">
        <v>0</v>
      </c>
      <c r="AK9" s="94">
        <v>0</v>
      </c>
      <c r="AL9" s="94">
        <v>3.57142857142857E-3</v>
      </c>
      <c r="AM9" s="94">
        <v>0</v>
      </c>
      <c r="AN9" s="94">
        <v>2.6777777777777775E-2</v>
      </c>
      <c r="AO9" s="94">
        <v>0</v>
      </c>
      <c r="AP9" s="94">
        <v>0</v>
      </c>
      <c r="AQ9" s="94">
        <v>0</v>
      </c>
      <c r="AR9" s="94">
        <v>0</v>
      </c>
      <c r="AS9" s="94">
        <v>0</v>
      </c>
      <c r="AT9" s="94">
        <v>0</v>
      </c>
      <c r="AU9" s="94">
        <v>0</v>
      </c>
      <c r="AV9" s="94">
        <v>0</v>
      </c>
      <c r="AW9" s="94">
        <v>0</v>
      </c>
      <c r="AX9" s="94">
        <v>0</v>
      </c>
      <c r="AY9" s="94">
        <v>0</v>
      </c>
      <c r="AZ9" s="94">
        <v>0</v>
      </c>
      <c r="BA9" s="94">
        <v>0</v>
      </c>
      <c r="BB9" s="94">
        <v>0</v>
      </c>
    </row>
    <row r="10" spans="1:54" x14ac:dyDescent="0.25">
      <c r="A10" s="96">
        <f t="shared" si="0"/>
        <v>6</v>
      </c>
      <c r="B10" s="95" t="s">
        <v>1</v>
      </c>
      <c r="C10" s="94">
        <v>0</v>
      </c>
      <c r="D10" s="94">
        <v>0</v>
      </c>
      <c r="E10" s="94">
        <v>0</v>
      </c>
      <c r="F10" s="94">
        <v>0</v>
      </c>
      <c r="G10" s="94">
        <v>0</v>
      </c>
      <c r="H10" s="94">
        <v>0</v>
      </c>
      <c r="I10" s="94">
        <v>0</v>
      </c>
      <c r="J10" s="94">
        <v>5.1000000000000004E-2</v>
      </c>
      <c r="K10" s="94">
        <v>0</v>
      </c>
      <c r="L10" s="94">
        <v>0</v>
      </c>
      <c r="M10" s="94">
        <v>0</v>
      </c>
      <c r="N10" s="94">
        <v>0</v>
      </c>
      <c r="O10" s="94">
        <v>0</v>
      </c>
      <c r="P10" s="94">
        <v>0</v>
      </c>
      <c r="Q10" s="94">
        <v>0</v>
      </c>
      <c r="R10" s="94">
        <v>0</v>
      </c>
      <c r="S10" s="94">
        <v>0</v>
      </c>
      <c r="T10" s="94">
        <v>0</v>
      </c>
      <c r="U10" s="94">
        <v>8.3333333333333295E-4</v>
      </c>
      <c r="V10" s="94">
        <v>1E-3</v>
      </c>
      <c r="W10" s="94">
        <v>5.9933333333333297E-2</v>
      </c>
      <c r="X10" s="94">
        <v>0</v>
      </c>
      <c r="Y10" s="94">
        <v>0</v>
      </c>
      <c r="Z10" s="94">
        <v>0</v>
      </c>
      <c r="AA10" s="94">
        <v>0</v>
      </c>
      <c r="AB10" s="94">
        <v>0</v>
      </c>
      <c r="AC10" s="94">
        <v>0</v>
      </c>
      <c r="AD10" s="94">
        <v>0</v>
      </c>
      <c r="AE10" s="94">
        <v>0</v>
      </c>
      <c r="AF10" s="94">
        <v>0</v>
      </c>
      <c r="AG10" s="94">
        <v>0</v>
      </c>
      <c r="AH10" s="94">
        <v>0</v>
      </c>
      <c r="AI10" s="94">
        <v>2.6583333333333334E-2</v>
      </c>
      <c r="AJ10" s="94">
        <v>0</v>
      </c>
      <c r="AK10" s="94">
        <v>0</v>
      </c>
      <c r="AL10" s="94">
        <v>0</v>
      </c>
      <c r="AM10" s="94">
        <v>0</v>
      </c>
      <c r="AN10" s="94">
        <v>0</v>
      </c>
      <c r="AO10" s="94">
        <v>0</v>
      </c>
      <c r="AP10" s="94">
        <v>0</v>
      </c>
      <c r="AQ10" s="94">
        <v>0</v>
      </c>
      <c r="AR10" s="94">
        <v>0</v>
      </c>
      <c r="AS10" s="94">
        <v>0</v>
      </c>
      <c r="AT10" s="94">
        <v>0</v>
      </c>
      <c r="AU10" s="94">
        <v>0</v>
      </c>
      <c r="AV10" s="94">
        <v>0</v>
      </c>
      <c r="AW10" s="94">
        <v>0</v>
      </c>
      <c r="AX10" s="94">
        <v>0.2</v>
      </c>
      <c r="AY10" s="94">
        <v>0</v>
      </c>
      <c r="AZ10" s="94">
        <v>0</v>
      </c>
      <c r="BA10" s="94">
        <v>0</v>
      </c>
      <c r="BB10" s="94">
        <v>0</v>
      </c>
    </row>
    <row r="11" spans="1:54" x14ac:dyDescent="0.25">
      <c r="A11" s="96">
        <f t="shared" si="0"/>
        <v>7</v>
      </c>
      <c r="B11" s="95" t="s">
        <v>723</v>
      </c>
      <c r="C11" s="94">
        <v>0</v>
      </c>
      <c r="D11" s="94">
        <v>0</v>
      </c>
      <c r="E11" s="94">
        <v>0</v>
      </c>
      <c r="F11" s="94">
        <v>0.01</v>
      </c>
      <c r="G11" s="94">
        <v>0.28875000000000001</v>
      </c>
      <c r="H11" s="94">
        <v>0.55599999999999994</v>
      </c>
      <c r="I11" s="94">
        <v>0.15666666666666701</v>
      </c>
      <c r="J11" s="94">
        <v>0.439015052063157</v>
      </c>
      <c r="K11" s="94">
        <v>2E-3</v>
      </c>
      <c r="L11" s="94">
        <v>0.49674775318034636</v>
      </c>
      <c r="M11" s="94">
        <v>0.40400000000000003</v>
      </c>
      <c r="N11" s="94">
        <v>0.38440000000000002</v>
      </c>
      <c r="O11" s="94">
        <v>0.10735555555555555</v>
      </c>
      <c r="P11" s="94">
        <v>2.9325000000000004E-2</v>
      </c>
      <c r="Q11" s="94">
        <v>0.48444000000000004</v>
      </c>
      <c r="R11" s="94">
        <v>0.40175</v>
      </c>
      <c r="S11" s="94">
        <v>6.4399999999999999E-2</v>
      </c>
      <c r="T11" s="94">
        <v>0</v>
      </c>
      <c r="U11" s="94">
        <v>4.6744444444444498E-2</v>
      </c>
      <c r="V11" s="94">
        <v>5.9055555555555597E-2</v>
      </c>
      <c r="W11" s="94">
        <v>0.126733333333333</v>
      </c>
      <c r="X11" s="94">
        <v>6.9679999999999992E-2</v>
      </c>
      <c r="Y11" s="94">
        <v>8.0500000000000002E-2</v>
      </c>
      <c r="Z11" s="94">
        <v>0</v>
      </c>
      <c r="AA11" s="94">
        <v>0</v>
      </c>
      <c r="AB11" s="94">
        <v>0</v>
      </c>
      <c r="AC11" s="94">
        <v>0.18328571428571444</v>
      </c>
      <c r="AD11" s="94">
        <v>8.0000000000000004E-4</v>
      </c>
      <c r="AE11" s="94">
        <v>0.28131616888888877</v>
      </c>
      <c r="AF11" s="94">
        <v>5.7554271708683456E-2</v>
      </c>
      <c r="AG11" s="94">
        <v>0.26916087251082288</v>
      </c>
      <c r="AH11" s="94">
        <v>0</v>
      </c>
      <c r="AI11" s="94">
        <v>0.28788733333333333</v>
      </c>
      <c r="AJ11" s="94">
        <v>0.16516666666666668</v>
      </c>
      <c r="AK11" s="94">
        <v>0</v>
      </c>
      <c r="AL11" s="94">
        <v>0</v>
      </c>
      <c r="AM11" s="94">
        <v>0</v>
      </c>
      <c r="AN11" s="94">
        <v>2.751777777777778E-2</v>
      </c>
      <c r="AO11" s="94">
        <v>0</v>
      </c>
      <c r="AP11" s="94">
        <v>0</v>
      </c>
      <c r="AQ11" s="94">
        <v>0</v>
      </c>
      <c r="AR11" s="94">
        <v>0.255</v>
      </c>
      <c r="AS11" s="94">
        <v>4.9541355032194832E-2</v>
      </c>
      <c r="AT11" s="94">
        <v>0</v>
      </c>
      <c r="AU11" s="94">
        <v>0</v>
      </c>
      <c r="AV11" s="94">
        <v>0</v>
      </c>
      <c r="AW11" s="94">
        <v>0</v>
      </c>
      <c r="AX11" s="94">
        <v>0</v>
      </c>
      <c r="AY11" s="94">
        <v>0</v>
      </c>
      <c r="AZ11" s="94">
        <v>0</v>
      </c>
      <c r="BA11" s="94">
        <v>0</v>
      </c>
      <c r="BB11" s="94">
        <v>0</v>
      </c>
    </row>
    <row r="12" spans="1:54" x14ac:dyDescent="0.25">
      <c r="A12" s="96">
        <f t="shared" si="0"/>
        <v>8</v>
      </c>
      <c r="B12" s="95" t="s">
        <v>7</v>
      </c>
      <c r="C12" s="94">
        <v>0</v>
      </c>
      <c r="D12" s="94">
        <v>0</v>
      </c>
      <c r="E12" s="94">
        <v>0</v>
      </c>
      <c r="F12" s="94">
        <v>0</v>
      </c>
      <c r="G12" s="94">
        <v>0</v>
      </c>
      <c r="H12" s="94">
        <v>1.57142857142857E-3</v>
      </c>
      <c r="I12" s="94">
        <v>0</v>
      </c>
      <c r="J12" s="94">
        <v>1.91033058881129E-2</v>
      </c>
      <c r="K12" s="94">
        <v>0</v>
      </c>
      <c r="L12" s="94">
        <v>1.5540909090908994E-2</v>
      </c>
      <c r="M12" s="94">
        <v>2.2100000000000002E-2</v>
      </c>
      <c r="N12" s="94">
        <v>0</v>
      </c>
      <c r="O12" s="94">
        <v>0</v>
      </c>
      <c r="P12" s="94">
        <v>0</v>
      </c>
      <c r="Q12" s="94">
        <v>0</v>
      </c>
      <c r="R12" s="94">
        <v>0</v>
      </c>
      <c r="S12" s="94">
        <v>0</v>
      </c>
      <c r="T12" s="94">
        <v>0</v>
      </c>
      <c r="U12" s="94">
        <v>7.4999999999999997E-3</v>
      </c>
      <c r="V12" s="94">
        <v>0</v>
      </c>
      <c r="W12" s="94">
        <v>0</v>
      </c>
      <c r="X12" s="94">
        <v>0</v>
      </c>
      <c r="Y12" s="94">
        <v>0</v>
      </c>
      <c r="Z12" s="94">
        <v>0</v>
      </c>
      <c r="AA12" s="94">
        <v>0</v>
      </c>
      <c r="AB12" s="94">
        <v>0</v>
      </c>
      <c r="AC12" s="94">
        <v>0</v>
      </c>
      <c r="AD12" s="94">
        <v>0</v>
      </c>
      <c r="AE12" s="94">
        <v>8.9999999999999993E-3</v>
      </c>
      <c r="AF12" s="94">
        <v>0</v>
      </c>
      <c r="AG12" s="94">
        <v>0</v>
      </c>
      <c r="AH12" s="94">
        <v>0</v>
      </c>
      <c r="AI12" s="94">
        <v>2.132333333333333E-2</v>
      </c>
      <c r="AJ12" s="94">
        <v>0</v>
      </c>
      <c r="AK12" s="94">
        <v>0</v>
      </c>
      <c r="AL12" s="94">
        <v>0</v>
      </c>
      <c r="AM12" s="94">
        <v>0</v>
      </c>
      <c r="AN12" s="94">
        <v>0</v>
      </c>
      <c r="AO12" s="94">
        <v>0</v>
      </c>
      <c r="AP12" s="94">
        <v>0</v>
      </c>
      <c r="AQ12" s="94">
        <v>0</v>
      </c>
      <c r="AR12" s="94">
        <v>0</v>
      </c>
      <c r="AS12" s="94">
        <v>0</v>
      </c>
      <c r="AT12" s="94">
        <v>0</v>
      </c>
      <c r="AU12" s="94">
        <v>0</v>
      </c>
      <c r="AV12" s="94">
        <v>0</v>
      </c>
      <c r="AW12" s="94">
        <v>0</v>
      </c>
      <c r="AX12" s="94">
        <v>0</v>
      </c>
      <c r="AY12" s="94">
        <v>0</v>
      </c>
      <c r="AZ12" s="94">
        <v>0</v>
      </c>
      <c r="BA12" s="94">
        <v>0</v>
      </c>
      <c r="BB12" s="94">
        <v>0</v>
      </c>
    </row>
    <row r="13" spans="1:54" x14ac:dyDescent="0.25">
      <c r="A13" s="96">
        <f t="shared" si="0"/>
        <v>9</v>
      </c>
      <c r="B13" s="95" t="s">
        <v>395</v>
      </c>
      <c r="C13" s="94">
        <v>0</v>
      </c>
      <c r="D13" s="94">
        <v>0</v>
      </c>
      <c r="E13" s="94">
        <v>0</v>
      </c>
      <c r="F13" s="94">
        <v>0</v>
      </c>
      <c r="G13" s="94">
        <v>0</v>
      </c>
      <c r="H13" s="94">
        <v>0</v>
      </c>
      <c r="I13" s="94">
        <v>0</v>
      </c>
      <c r="J13" s="94">
        <v>0</v>
      </c>
      <c r="K13" s="94">
        <v>0</v>
      </c>
      <c r="L13" s="94">
        <v>0</v>
      </c>
      <c r="M13" s="94">
        <v>5.6666666666666697E-3</v>
      </c>
      <c r="N13" s="94">
        <v>0</v>
      </c>
      <c r="O13" s="94">
        <v>4.1155555555555556E-2</v>
      </c>
      <c r="P13" s="94">
        <v>0</v>
      </c>
      <c r="Q13" s="94">
        <v>0</v>
      </c>
      <c r="R13" s="94">
        <v>0</v>
      </c>
      <c r="S13" s="94">
        <v>0</v>
      </c>
      <c r="T13" s="94">
        <v>0</v>
      </c>
      <c r="U13" s="94">
        <v>3.1911111111111098E-2</v>
      </c>
      <c r="V13" s="94">
        <v>7.8333333333333293E-3</v>
      </c>
      <c r="W13" s="94">
        <v>0</v>
      </c>
      <c r="X13" s="94">
        <v>9.894E-2</v>
      </c>
      <c r="Y13" s="94">
        <v>0.58699999999999997</v>
      </c>
      <c r="Z13" s="94">
        <v>0</v>
      </c>
      <c r="AA13" s="94">
        <v>9.8591218305504012E-3</v>
      </c>
      <c r="AB13" s="94">
        <v>0</v>
      </c>
      <c r="AC13" s="94">
        <v>0</v>
      </c>
      <c r="AD13" s="94">
        <v>0</v>
      </c>
      <c r="AE13" s="94">
        <v>0</v>
      </c>
      <c r="AF13" s="99">
        <v>8.2485994397759298E-4</v>
      </c>
      <c r="AG13" s="94">
        <v>7.9909090909090971E-3</v>
      </c>
      <c r="AH13" s="94">
        <v>0</v>
      </c>
      <c r="AI13" s="94">
        <v>0</v>
      </c>
      <c r="AJ13" s="94">
        <v>0</v>
      </c>
      <c r="AK13" s="94">
        <v>0</v>
      </c>
      <c r="AL13" s="94">
        <v>0</v>
      </c>
      <c r="AM13" s="94">
        <v>0</v>
      </c>
      <c r="AN13" s="94">
        <v>0</v>
      </c>
      <c r="AO13" s="94">
        <v>0</v>
      </c>
      <c r="AP13" s="94">
        <v>0</v>
      </c>
      <c r="AQ13" s="94">
        <v>0</v>
      </c>
      <c r="AR13" s="94">
        <v>0</v>
      </c>
      <c r="AS13" s="94">
        <v>0</v>
      </c>
      <c r="AT13" s="94">
        <v>0</v>
      </c>
      <c r="AU13" s="94">
        <v>0</v>
      </c>
      <c r="AV13" s="94">
        <v>0</v>
      </c>
      <c r="AW13" s="94">
        <v>0</v>
      </c>
      <c r="AX13" s="94">
        <v>0</v>
      </c>
      <c r="AY13" s="94">
        <v>0</v>
      </c>
      <c r="AZ13" s="94">
        <v>0</v>
      </c>
      <c r="BA13" s="94">
        <v>0</v>
      </c>
      <c r="BB13" s="94">
        <v>0</v>
      </c>
    </row>
    <row r="14" spans="1:54" x14ac:dyDescent="0.25">
      <c r="A14" s="96">
        <f t="shared" si="0"/>
        <v>10</v>
      </c>
      <c r="B14" s="95" t="s">
        <v>724</v>
      </c>
      <c r="C14" s="94">
        <v>0</v>
      </c>
      <c r="D14" s="94">
        <v>0</v>
      </c>
      <c r="E14" s="94">
        <v>0</v>
      </c>
      <c r="F14" s="94">
        <v>0</v>
      </c>
      <c r="G14" s="94">
        <v>0</v>
      </c>
      <c r="H14" s="94">
        <v>0</v>
      </c>
      <c r="I14" s="94">
        <v>0</v>
      </c>
      <c r="J14" s="94">
        <v>9.8000000000000004E-2</v>
      </c>
      <c r="K14" s="94">
        <v>0</v>
      </c>
      <c r="L14" s="94">
        <v>0</v>
      </c>
      <c r="M14" s="94">
        <v>0</v>
      </c>
      <c r="N14" s="94">
        <v>0</v>
      </c>
      <c r="O14" s="94">
        <v>0.22115555555555558</v>
      </c>
      <c r="P14" s="94">
        <v>0</v>
      </c>
      <c r="Q14" s="94">
        <v>0</v>
      </c>
      <c r="R14" s="94">
        <v>0</v>
      </c>
      <c r="S14" s="94">
        <v>0</v>
      </c>
      <c r="T14" s="94">
        <v>0</v>
      </c>
      <c r="U14" s="94">
        <v>0</v>
      </c>
      <c r="V14" s="94">
        <v>0</v>
      </c>
      <c r="W14" s="94">
        <v>0</v>
      </c>
      <c r="X14" s="94">
        <v>0</v>
      </c>
      <c r="Y14" s="94">
        <v>0</v>
      </c>
      <c r="Z14" s="94">
        <v>0</v>
      </c>
      <c r="AA14" s="94">
        <v>0</v>
      </c>
      <c r="AB14" s="94">
        <v>0</v>
      </c>
      <c r="AC14" s="94">
        <v>0.14101428571428601</v>
      </c>
      <c r="AD14" s="94">
        <v>0</v>
      </c>
      <c r="AE14" s="94">
        <v>0</v>
      </c>
      <c r="AF14" s="94">
        <v>0</v>
      </c>
      <c r="AG14" s="94">
        <v>0</v>
      </c>
      <c r="AH14" s="94">
        <v>0</v>
      </c>
      <c r="AI14" s="94">
        <v>0</v>
      </c>
      <c r="AJ14" s="94">
        <v>0</v>
      </c>
      <c r="AK14" s="94">
        <v>0</v>
      </c>
      <c r="AL14" s="94">
        <v>0</v>
      </c>
      <c r="AM14" s="94">
        <v>0</v>
      </c>
      <c r="AN14" s="94">
        <v>0</v>
      </c>
      <c r="AO14" s="94">
        <v>0</v>
      </c>
      <c r="AP14" s="94">
        <v>0</v>
      </c>
      <c r="AQ14" s="94">
        <v>0</v>
      </c>
      <c r="AR14" s="94">
        <v>0</v>
      </c>
      <c r="AS14" s="94">
        <v>3.5714285714285698E-2</v>
      </c>
      <c r="AT14" s="94">
        <v>0</v>
      </c>
      <c r="AU14" s="94">
        <v>0.8</v>
      </c>
      <c r="AV14" s="94">
        <v>0</v>
      </c>
      <c r="AW14" s="94">
        <v>0</v>
      </c>
      <c r="AX14" s="94">
        <v>0</v>
      </c>
      <c r="AY14" s="94">
        <v>0</v>
      </c>
      <c r="AZ14" s="94">
        <v>0</v>
      </c>
      <c r="BA14" s="94">
        <v>0</v>
      </c>
      <c r="BB14" s="94">
        <v>0</v>
      </c>
    </row>
    <row r="15" spans="1:54" x14ac:dyDescent="0.25">
      <c r="A15" s="96">
        <f t="shared" si="0"/>
        <v>11</v>
      </c>
      <c r="B15" s="95" t="s">
        <v>10</v>
      </c>
      <c r="C15" s="94">
        <v>0</v>
      </c>
      <c r="D15" s="94">
        <v>0</v>
      </c>
      <c r="E15" s="94">
        <v>0</v>
      </c>
      <c r="F15" s="94">
        <v>0</v>
      </c>
      <c r="G15" s="94">
        <v>0</v>
      </c>
      <c r="H15" s="94">
        <v>0</v>
      </c>
      <c r="I15" s="94">
        <v>0</v>
      </c>
      <c r="J15" s="94">
        <v>7.3274746968123694E-2</v>
      </c>
      <c r="K15" s="94">
        <v>0</v>
      </c>
      <c r="L15" s="94">
        <v>0</v>
      </c>
      <c r="M15" s="94">
        <v>0</v>
      </c>
      <c r="N15" s="94">
        <v>0</v>
      </c>
      <c r="O15" s="94">
        <v>0.24595555555555557</v>
      </c>
      <c r="P15" s="94">
        <v>0</v>
      </c>
      <c r="Q15" s="94">
        <v>0</v>
      </c>
      <c r="R15" s="94">
        <v>0</v>
      </c>
      <c r="S15" s="94">
        <v>3.0300000000000001E-2</v>
      </c>
      <c r="T15" s="94">
        <v>0</v>
      </c>
      <c r="U15" s="94">
        <v>0</v>
      </c>
      <c r="V15" s="94">
        <v>0</v>
      </c>
      <c r="W15" s="94">
        <v>0</v>
      </c>
      <c r="X15" s="94">
        <v>0</v>
      </c>
      <c r="Y15" s="94">
        <v>0</v>
      </c>
      <c r="Z15" s="94">
        <v>0</v>
      </c>
      <c r="AA15" s="94">
        <v>0</v>
      </c>
      <c r="AB15" s="94">
        <v>0</v>
      </c>
      <c r="AC15" s="94">
        <v>1.7999999999999999E-2</v>
      </c>
      <c r="AD15" s="94">
        <v>0</v>
      </c>
      <c r="AE15" s="94">
        <v>0</v>
      </c>
      <c r="AF15" s="94">
        <v>0</v>
      </c>
      <c r="AG15" s="94">
        <v>0</v>
      </c>
      <c r="AH15" s="94">
        <v>0</v>
      </c>
      <c r="AI15" s="94">
        <v>1.6098333333333333E-2</v>
      </c>
      <c r="AJ15" s="94">
        <v>0</v>
      </c>
      <c r="AK15" s="94">
        <v>0</v>
      </c>
      <c r="AL15" s="94">
        <v>0</v>
      </c>
      <c r="AM15" s="94">
        <v>0</v>
      </c>
      <c r="AN15" s="94">
        <v>0</v>
      </c>
      <c r="AO15" s="94">
        <v>0</v>
      </c>
      <c r="AP15" s="94">
        <v>0</v>
      </c>
      <c r="AQ15" s="94">
        <v>0</v>
      </c>
      <c r="AR15" s="94">
        <v>0.05</v>
      </c>
      <c r="AS15" s="94">
        <v>0.111756480637584</v>
      </c>
      <c r="AT15" s="94">
        <v>0</v>
      </c>
      <c r="AU15" s="94">
        <v>0</v>
      </c>
      <c r="AV15" s="94">
        <v>0</v>
      </c>
      <c r="AW15" s="94">
        <v>0</v>
      </c>
      <c r="AX15" s="94">
        <v>0</v>
      </c>
      <c r="AY15" s="94">
        <v>0</v>
      </c>
      <c r="AZ15" s="94">
        <v>0</v>
      </c>
      <c r="BA15" s="94">
        <v>0</v>
      </c>
      <c r="BB15" s="94">
        <v>0</v>
      </c>
    </row>
    <row r="16" spans="1:54" x14ac:dyDescent="0.25">
      <c r="A16" s="96">
        <f t="shared" si="0"/>
        <v>12</v>
      </c>
      <c r="B16" s="95" t="s">
        <v>725</v>
      </c>
      <c r="C16" s="94">
        <v>0</v>
      </c>
      <c r="D16" s="94">
        <v>0</v>
      </c>
      <c r="E16" s="94">
        <v>0</v>
      </c>
      <c r="F16" s="94">
        <v>0</v>
      </c>
      <c r="G16" s="94">
        <v>0</v>
      </c>
      <c r="H16" s="94">
        <v>0</v>
      </c>
      <c r="I16" s="94">
        <v>0</v>
      </c>
      <c r="J16" s="94">
        <v>0.10100000000000001</v>
      </c>
      <c r="K16" s="94">
        <v>0</v>
      </c>
      <c r="L16" s="94">
        <v>0.22663333333333333</v>
      </c>
      <c r="M16" s="94">
        <v>0</v>
      </c>
      <c r="N16" s="94">
        <v>0</v>
      </c>
      <c r="O16" s="94">
        <v>2.7355555555555557E-2</v>
      </c>
      <c r="P16" s="94">
        <v>0</v>
      </c>
      <c r="Q16" s="94">
        <v>6.9999999999999999E-4</v>
      </c>
      <c r="R16" s="94">
        <v>0</v>
      </c>
      <c r="S16" s="94">
        <v>0</v>
      </c>
      <c r="T16" s="94">
        <v>0</v>
      </c>
      <c r="U16" s="94">
        <v>1.84444444444444E-3</v>
      </c>
      <c r="V16" s="94">
        <v>0</v>
      </c>
      <c r="W16" s="94">
        <v>2.0566666666666698E-2</v>
      </c>
      <c r="X16" s="94">
        <v>0</v>
      </c>
      <c r="Y16" s="94">
        <v>0</v>
      </c>
      <c r="Z16" s="94">
        <v>0</v>
      </c>
      <c r="AA16" s="94">
        <v>0</v>
      </c>
      <c r="AB16" s="94">
        <v>1.1428571428571399E-3</v>
      </c>
      <c r="AC16" s="94">
        <v>0</v>
      </c>
      <c r="AD16" s="94">
        <v>0</v>
      </c>
      <c r="AE16" s="94">
        <v>0</v>
      </c>
      <c r="AF16" s="94">
        <v>0</v>
      </c>
      <c r="AG16" s="94">
        <v>0</v>
      </c>
      <c r="AH16" s="94">
        <v>0</v>
      </c>
      <c r="AI16" s="94">
        <v>2.6676410256410252E-2</v>
      </c>
      <c r="AJ16" s="94">
        <v>0</v>
      </c>
      <c r="AK16" s="94">
        <v>0</v>
      </c>
      <c r="AL16" s="94">
        <v>0</v>
      </c>
      <c r="AM16" s="94">
        <v>0</v>
      </c>
      <c r="AN16" s="94">
        <v>0</v>
      </c>
      <c r="AO16" s="94">
        <v>0</v>
      </c>
      <c r="AP16" s="94">
        <v>0</v>
      </c>
      <c r="AQ16" s="94">
        <v>0</v>
      </c>
      <c r="AR16" s="94">
        <v>0</v>
      </c>
      <c r="AS16" s="94">
        <v>0.2</v>
      </c>
      <c r="AT16" s="94">
        <v>0</v>
      </c>
      <c r="AU16" s="94">
        <v>0.2</v>
      </c>
      <c r="AV16" s="94">
        <v>0</v>
      </c>
      <c r="AW16" s="94">
        <v>0</v>
      </c>
      <c r="AX16" s="94">
        <v>0</v>
      </c>
      <c r="AY16" s="94">
        <v>0</v>
      </c>
      <c r="AZ16" s="94">
        <v>0</v>
      </c>
      <c r="BA16" s="94">
        <v>0</v>
      </c>
      <c r="BB16" s="94">
        <v>0</v>
      </c>
    </row>
    <row r="17" spans="1:54" x14ac:dyDescent="0.25">
      <c r="A17" s="96">
        <f t="shared" si="0"/>
        <v>13</v>
      </c>
      <c r="B17" s="95" t="s">
        <v>401</v>
      </c>
      <c r="C17" s="94">
        <v>0</v>
      </c>
      <c r="D17" s="94">
        <v>0</v>
      </c>
      <c r="E17" s="94">
        <v>0</v>
      </c>
      <c r="F17" s="94">
        <v>0</v>
      </c>
      <c r="G17" s="94">
        <v>0</v>
      </c>
      <c r="H17" s="94">
        <v>0</v>
      </c>
      <c r="I17" s="94">
        <v>0</v>
      </c>
      <c r="J17" s="94">
        <v>0</v>
      </c>
      <c r="K17" s="94">
        <v>0</v>
      </c>
      <c r="L17" s="94">
        <v>0</v>
      </c>
      <c r="M17" s="94">
        <v>0</v>
      </c>
      <c r="N17" s="94">
        <v>0</v>
      </c>
      <c r="O17" s="94">
        <v>0</v>
      </c>
      <c r="P17" s="94">
        <v>0</v>
      </c>
      <c r="Q17" s="94">
        <v>0.04</v>
      </c>
      <c r="R17" s="94">
        <v>0</v>
      </c>
      <c r="S17" s="94">
        <v>0</v>
      </c>
      <c r="T17" s="94">
        <v>0</v>
      </c>
      <c r="U17" s="94">
        <v>1.2555555555555601E-3</v>
      </c>
      <c r="V17" s="94">
        <v>5.06666666666667E-2</v>
      </c>
      <c r="W17" s="94">
        <v>0</v>
      </c>
      <c r="X17" s="94">
        <v>0</v>
      </c>
      <c r="Y17" s="94">
        <v>0</v>
      </c>
      <c r="Z17" s="94">
        <v>2.01E-2</v>
      </c>
      <c r="AA17" s="94">
        <v>1.6550030921459492E-2</v>
      </c>
      <c r="AB17" s="94">
        <v>7.1428571428571396E-4</v>
      </c>
      <c r="AC17" s="94">
        <v>0</v>
      </c>
      <c r="AD17" s="94">
        <v>0</v>
      </c>
      <c r="AE17" s="94">
        <v>0</v>
      </c>
      <c r="AF17" s="94">
        <v>0.13184838935574236</v>
      </c>
      <c r="AG17" s="94">
        <v>0</v>
      </c>
      <c r="AH17" s="94">
        <v>0</v>
      </c>
      <c r="AI17" s="94">
        <v>0</v>
      </c>
      <c r="AJ17" s="94">
        <v>0</v>
      </c>
      <c r="AK17" s="94">
        <v>0</v>
      </c>
      <c r="AL17" s="94">
        <v>0</v>
      </c>
      <c r="AM17" s="94">
        <v>0</v>
      </c>
      <c r="AN17" s="94">
        <v>0</v>
      </c>
      <c r="AO17" s="94">
        <v>1.2999999999999999E-2</v>
      </c>
      <c r="AP17" s="94">
        <v>3.6249999999999998E-2</v>
      </c>
      <c r="AQ17" s="94">
        <v>0</v>
      </c>
      <c r="AR17" s="94">
        <v>0</v>
      </c>
      <c r="AS17" s="94">
        <v>0</v>
      </c>
      <c r="AT17" s="94">
        <v>0</v>
      </c>
      <c r="AU17" s="94">
        <v>0</v>
      </c>
      <c r="AV17" s="94">
        <v>5.6633333999999997E-3</v>
      </c>
      <c r="AW17" s="94">
        <v>0</v>
      </c>
      <c r="AX17" s="94">
        <v>0</v>
      </c>
      <c r="AY17" s="94">
        <v>0</v>
      </c>
      <c r="AZ17" s="94">
        <v>0</v>
      </c>
      <c r="BA17" s="94">
        <v>0</v>
      </c>
      <c r="BB17" s="94">
        <v>0</v>
      </c>
    </row>
    <row r="18" spans="1:54" x14ac:dyDescent="0.25">
      <c r="A18" s="96">
        <f t="shared" si="0"/>
        <v>14</v>
      </c>
      <c r="B18" s="95" t="s">
        <v>405</v>
      </c>
      <c r="C18" s="94">
        <v>0</v>
      </c>
      <c r="D18" s="94">
        <v>0</v>
      </c>
      <c r="E18" s="94">
        <v>0</v>
      </c>
      <c r="F18" s="94">
        <v>0</v>
      </c>
      <c r="G18" s="94">
        <v>0</v>
      </c>
      <c r="H18" s="94">
        <v>0</v>
      </c>
      <c r="I18" s="94">
        <v>0</v>
      </c>
      <c r="J18" s="94">
        <v>0</v>
      </c>
      <c r="K18" s="94">
        <v>0</v>
      </c>
      <c r="L18" s="94">
        <v>0</v>
      </c>
      <c r="M18" s="94">
        <v>0</v>
      </c>
      <c r="N18" s="94">
        <v>0</v>
      </c>
      <c r="O18" s="94">
        <v>0</v>
      </c>
      <c r="P18" s="94">
        <v>0</v>
      </c>
      <c r="Q18" s="94">
        <v>0</v>
      </c>
      <c r="R18" s="94">
        <v>0</v>
      </c>
      <c r="S18" s="94">
        <v>0</v>
      </c>
      <c r="T18" s="94">
        <v>0</v>
      </c>
      <c r="U18" s="94">
        <v>0</v>
      </c>
      <c r="V18" s="94">
        <v>0</v>
      </c>
      <c r="W18" s="94">
        <v>0</v>
      </c>
      <c r="X18" s="94">
        <v>0</v>
      </c>
      <c r="Y18" s="94">
        <v>0</v>
      </c>
      <c r="Z18" s="94">
        <v>0</v>
      </c>
      <c r="AA18" s="94">
        <v>0</v>
      </c>
      <c r="AB18" s="94">
        <v>0</v>
      </c>
      <c r="AC18" s="94">
        <v>0</v>
      </c>
      <c r="AD18" s="94">
        <v>0</v>
      </c>
      <c r="AE18" s="94">
        <v>0</v>
      </c>
      <c r="AF18" s="94">
        <v>0</v>
      </c>
      <c r="AG18" s="94">
        <v>0</v>
      </c>
      <c r="AH18" s="94">
        <v>0</v>
      </c>
      <c r="AI18" s="94">
        <v>0</v>
      </c>
      <c r="AJ18" s="94">
        <v>0</v>
      </c>
      <c r="AK18" s="94">
        <v>0</v>
      </c>
      <c r="AL18" s="94">
        <v>0</v>
      </c>
      <c r="AM18" s="94">
        <v>0</v>
      </c>
      <c r="AN18" s="94">
        <v>0</v>
      </c>
      <c r="AO18" s="94">
        <v>0</v>
      </c>
      <c r="AP18" s="94">
        <v>0</v>
      </c>
      <c r="AQ18" s="94">
        <v>0</v>
      </c>
      <c r="AR18" s="94">
        <v>0</v>
      </c>
      <c r="AS18" s="94">
        <v>0</v>
      </c>
      <c r="AT18" s="94">
        <v>0</v>
      </c>
      <c r="AU18" s="94">
        <v>0</v>
      </c>
      <c r="AV18" s="94">
        <v>0</v>
      </c>
      <c r="AW18" s="94">
        <v>0</v>
      </c>
      <c r="AX18" s="94">
        <v>0</v>
      </c>
      <c r="AY18" s="94">
        <v>0</v>
      </c>
      <c r="AZ18" s="94">
        <v>0</v>
      </c>
      <c r="BA18" s="94">
        <v>0</v>
      </c>
      <c r="BB18" s="94">
        <v>0</v>
      </c>
    </row>
    <row r="19" spans="1:54" x14ac:dyDescent="0.25">
      <c r="A19" s="96">
        <f t="shared" si="0"/>
        <v>15</v>
      </c>
      <c r="B19" s="95" t="s">
        <v>409</v>
      </c>
      <c r="C19" s="94">
        <v>0</v>
      </c>
      <c r="D19" s="94">
        <v>0</v>
      </c>
      <c r="E19" s="94">
        <v>0</v>
      </c>
      <c r="F19" s="94">
        <v>0</v>
      </c>
      <c r="G19" s="94">
        <v>0</v>
      </c>
      <c r="H19" s="94">
        <v>0</v>
      </c>
      <c r="I19" s="94">
        <v>0</v>
      </c>
      <c r="J19" s="94">
        <v>0</v>
      </c>
      <c r="K19" s="94">
        <v>0</v>
      </c>
      <c r="L19" s="94">
        <v>0</v>
      </c>
      <c r="M19" s="94">
        <v>0</v>
      </c>
      <c r="N19" s="94">
        <v>0</v>
      </c>
      <c r="O19" s="94">
        <v>0</v>
      </c>
      <c r="P19" s="94">
        <v>0</v>
      </c>
      <c r="Q19" s="94">
        <v>0</v>
      </c>
      <c r="R19" s="94">
        <v>0</v>
      </c>
      <c r="S19" s="94">
        <v>0</v>
      </c>
      <c r="T19" s="94">
        <v>0</v>
      </c>
      <c r="U19" s="94">
        <v>0</v>
      </c>
      <c r="V19" s="94">
        <v>3.9444444444444397E-3</v>
      </c>
      <c r="W19" s="94">
        <v>0</v>
      </c>
      <c r="X19" s="94">
        <v>0</v>
      </c>
      <c r="Y19" s="94">
        <v>0</v>
      </c>
      <c r="Z19" s="94">
        <v>0</v>
      </c>
      <c r="AA19" s="94">
        <v>0</v>
      </c>
      <c r="AB19" s="94">
        <v>7.5714285714285701E-3</v>
      </c>
      <c r="AC19" s="94">
        <v>0</v>
      </c>
      <c r="AD19" s="94">
        <v>0</v>
      </c>
      <c r="AE19" s="94">
        <v>0</v>
      </c>
      <c r="AF19" s="94">
        <v>0</v>
      </c>
      <c r="AG19" s="94">
        <v>0</v>
      </c>
      <c r="AH19" s="94">
        <v>0</v>
      </c>
      <c r="AI19" s="94">
        <v>0</v>
      </c>
      <c r="AJ19" s="94">
        <v>0</v>
      </c>
      <c r="AK19" s="94">
        <v>0</v>
      </c>
      <c r="AL19" s="94">
        <v>0</v>
      </c>
      <c r="AM19" s="94">
        <v>0</v>
      </c>
      <c r="AN19" s="94">
        <v>0</v>
      </c>
      <c r="AO19" s="94">
        <v>2E-3</v>
      </c>
      <c r="AP19" s="94">
        <v>0</v>
      </c>
      <c r="AQ19" s="94">
        <v>0</v>
      </c>
      <c r="AR19" s="94">
        <v>0</v>
      </c>
      <c r="AS19" s="94">
        <v>0</v>
      </c>
      <c r="AT19" s="94">
        <v>0</v>
      </c>
      <c r="AU19" s="94">
        <v>0</v>
      </c>
      <c r="AV19" s="94">
        <v>7.4527272727272697E-3</v>
      </c>
      <c r="AW19" s="94">
        <v>1.06060606060606E-2</v>
      </c>
      <c r="AX19" s="94">
        <v>0.02</v>
      </c>
      <c r="AY19" s="94">
        <v>0</v>
      </c>
      <c r="AZ19" s="94">
        <v>0</v>
      </c>
      <c r="BA19" s="94">
        <v>0</v>
      </c>
      <c r="BB19" s="94">
        <v>0</v>
      </c>
    </row>
    <row r="20" spans="1:54" x14ac:dyDescent="0.25">
      <c r="A20" s="96">
        <f t="shared" si="0"/>
        <v>16</v>
      </c>
      <c r="B20" s="95" t="s">
        <v>411</v>
      </c>
      <c r="C20" s="94">
        <v>0</v>
      </c>
      <c r="D20" s="94">
        <v>0</v>
      </c>
      <c r="E20" s="94">
        <v>0</v>
      </c>
      <c r="F20" s="94">
        <v>0</v>
      </c>
      <c r="G20" s="94">
        <v>0</v>
      </c>
      <c r="H20" s="94">
        <v>0</v>
      </c>
      <c r="I20" s="94">
        <v>0</v>
      </c>
      <c r="J20" s="94">
        <v>0</v>
      </c>
      <c r="K20" s="94">
        <v>0</v>
      </c>
      <c r="L20" s="94">
        <v>0</v>
      </c>
      <c r="M20" s="94">
        <v>0</v>
      </c>
      <c r="N20" s="94">
        <v>0</v>
      </c>
      <c r="O20" s="94">
        <v>0</v>
      </c>
      <c r="P20" s="94">
        <v>0</v>
      </c>
      <c r="Q20" s="94">
        <v>0</v>
      </c>
      <c r="R20" s="94">
        <v>0</v>
      </c>
      <c r="S20" s="94">
        <v>0</v>
      </c>
      <c r="T20" s="94">
        <v>0</v>
      </c>
      <c r="U20" s="94">
        <v>5.5444444444444404E-3</v>
      </c>
      <c r="V20" s="94">
        <v>0</v>
      </c>
      <c r="W20" s="94">
        <v>0</v>
      </c>
      <c r="X20" s="94">
        <v>0</v>
      </c>
      <c r="Y20" s="94">
        <v>0</v>
      </c>
      <c r="Z20" s="94">
        <v>0</v>
      </c>
      <c r="AA20" s="94">
        <v>2.1774891774891791E-4</v>
      </c>
      <c r="AB20" s="94">
        <v>1.42857142857143E-4</v>
      </c>
      <c r="AC20" s="94">
        <v>0</v>
      </c>
      <c r="AD20" s="94">
        <v>0</v>
      </c>
      <c r="AE20" s="94">
        <v>0</v>
      </c>
      <c r="AF20" s="94">
        <v>9.0169467787114856E-3</v>
      </c>
      <c r="AG20" s="94">
        <v>0</v>
      </c>
      <c r="AH20" s="94">
        <v>0</v>
      </c>
      <c r="AI20" s="94">
        <v>0</v>
      </c>
      <c r="AJ20" s="94">
        <v>0</v>
      </c>
      <c r="AK20" s="94">
        <v>0</v>
      </c>
      <c r="AL20" s="94">
        <v>0</v>
      </c>
      <c r="AM20" s="94">
        <v>0</v>
      </c>
      <c r="AN20" s="94">
        <v>0</v>
      </c>
      <c r="AO20" s="94">
        <v>0</v>
      </c>
      <c r="AP20" s="94">
        <v>1.15E-3</v>
      </c>
      <c r="AQ20" s="94">
        <v>0</v>
      </c>
      <c r="AR20" s="94">
        <v>0</v>
      </c>
      <c r="AS20" s="94">
        <v>0</v>
      </c>
      <c r="AT20" s="94">
        <v>0</v>
      </c>
      <c r="AU20" s="94">
        <v>0</v>
      </c>
      <c r="AV20" s="94">
        <v>6.0637272727272987E-3</v>
      </c>
      <c r="AW20" s="94">
        <v>1.06060606060606E-2</v>
      </c>
      <c r="AX20" s="94">
        <v>0.02</v>
      </c>
      <c r="AY20" s="94">
        <v>0</v>
      </c>
      <c r="AZ20" s="94">
        <v>0</v>
      </c>
      <c r="BA20" s="94">
        <v>0</v>
      </c>
      <c r="BB20" s="94">
        <v>0</v>
      </c>
    </row>
    <row r="21" spans="1:54" x14ac:dyDescent="0.25">
      <c r="A21" s="96">
        <f t="shared" si="0"/>
        <v>17</v>
      </c>
      <c r="B21" s="95" t="s">
        <v>415</v>
      </c>
      <c r="C21" s="94">
        <v>0</v>
      </c>
      <c r="D21" s="94">
        <v>0</v>
      </c>
      <c r="E21" s="94">
        <v>0</v>
      </c>
      <c r="F21" s="94">
        <v>0</v>
      </c>
      <c r="G21" s="94">
        <v>0</v>
      </c>
      <c r="H21" s="94">
        <v>0</v>
      </c>
      <c r="I21" s="94">
        <v>0</v>
      </c>
      <c r="J21" s="94">
        <v>0</v>
      </c>
      <c r="K21" s="94">
        <v>0</v>
      </c>
      <c r="L21" s="94">
        <v>0</v>
      </c>
      <c r="M21" s="94">
        <v>0</v>
      </c>
      <c r="N21" s="94">
        <v>0</v>
      </c>
      <c r="O21" s="94">
        <v>0</v>
      </c>
      <c r="P21" s="94">
        <v>0</v>
      </c>
      <c r="Q21" s="94">
        <v>0</v>
      </c>
      <c r="R21" s="94">
        <v>0</v>
      </c>
      <c r="S21" s="94">
        <v>0</v>
      </c>
      <c r="T21" s="94">
        <v>0</v>
      </c>
      <c r="U21" s="94">
        <v>0</v>
      </c>
      <c r="V21" s="94">
        <v>0</v>
      </c>
      <c r="W21" s="94">
        <v>0</v>
      </c>
      <c r="X21" s="94">
        <v>0</v>
      </c>
      <c r="Y21" s="94">
        <v>0</v>
      </c>
      <c r="Z21" s="94">
        <f>0.00101666666666667*0.58</f>
        <v>5.8966666666666857E-4</v>
      </c>
      <c r="AA21" s="94">
        <f>0.0218045763760049*0.58</f>
        <v>1.2646654298082842E-2</v>
      </c>
      <c r="AB21" s="94">
        <f>0.002*0.58</f>
        <v>1.16E-3</v>
      </c>
      <c r="AC21" s="94">
        <v>0</v>
      </c>
      <c r="AD21" s="94">
        <v>0</v>
      </c>
      <c r="AE21" s="94">
        <f>0.0150580832444444*0.58</f>
        <v>8.733688281777752E-3</v>
      </c>
      <c r="AF21" s="94">
        <f>0.105667016806723*0.58</f>
        <v>6.1286869747899334E-2</v>
      </c>
      <c r="AG21" s="94">
        <v>0</v>
      </c>
      <c r="AH21" s="94">
        <v>0</v>
      </c>
      <c r="AI21" s="94">
        <v>0</v>
      </c>
      <c r="AJ21" s="94">
        <v>0</v>
      </c>
      <c r="AK21" s="94">
        <v>0</v>
      </c>
      <c r="AL21" s="94">
        <v>0</v>
      </c>
      <c r="AM21" s="94">
        <v>0</v>
      </c>
      <c r="AN21" s="94">
        <v>0</v>
      </c>
      <c r="AO21" s="94">
        <v>5.0999999999999997E-2</v>
      </c>
      <c r="AP21" s="94">
        <v>0.11685</v>
      </c>
      <c r="AQ21" s="94">
        <v>0</v>
      </c>
      <c r="AR21" s="94">
        <v>0</v>
      </c>
      <c r="AS21" s="94">
        <f>0.0759925609645094*0.58</f>
        <v>4.4075685359415452E-2</v>
      </c>
      <c r="AT21" s="94">
        <v>0</v>
      </c>
      <c r="AU21" s="94">
        <v>0</v>
      </c>
      <c r="AV21" s="94">
        <v>7.4859439023450304E-3</v>
      </c>
      <c r="AW21" s="94">
        <v>1.06060606060606E-2</v>
      </c>
      <c r="AX21" s="94">
        <v>0.02</v>
      </c>
      <c r="AY21" s="94">
        <v>0</v>
      </c>
      <c r="AZ21" s="94">
        <v>0</v>
      </c>
      <c r="BA21" s="94">
        <v>0</v>
      </c>
      <c r="BB21" s="94">
        <v>0</v>
      </c>
    </row>
    <row r="22" spans="1:54" x14ac:dyDescent="0.25">
      <c r="A22" s="96">
        <f t="shared" si="0"/>
        <v>18</v>
      </c>
      <c r="B22" s="95" t="s">
        <v>355</v>
      </c>
      <c r="C22" s="94">
        <v>0</v>
      </c>
      <c r="D22" s="94">
        <v>0</v>
      </c>
      <c r="E22" s="94">
        <v>0</v>
      </c>
      <c r="F22" s="94">
        <v>0</v>
      </c>
      <c r="G22" s="94">
        <v>0</v>
      </c>
      <c r="H22" s="94">
        <v>0</v>
      </c>
      <c r="I22" s="94">
        <v>0</v>
      </c>
      <c r="J22" s="94">
        <v>0</v>
      </c>
      <c r="K22" s="94">
        <v>0</v>
      </c>
      <c r="L22" s="94">
        <v>0</v>
      </c>
      <c r="M22" s="94">
        <v>0</v>
      </c>
      <c r="N22" s="94">
        <v>0</v>
      </c>
      <c r="O22" s="94">
        <v>0</v>
      </c>
      <c r="P22" s="94">
        <v>0</v>
      </c>
      <c r="Q22" s="94">
        <v>0</v>
      </c>
      <c r="R22" s="94">
        <v>0</v>
      </c>
      <c r="S22" s="94">
        <v>0</v>
      </c>
      <c r="T22" s="94">
        <v>0</v>
      </c>
      <c r="U22" s="94">
        <v>0</v>
      </c>
      <c r="V22" s="94">
        <v>0</v>
      </c>
      <c r="W22" s="94">
        <v>0</v>
      </c>
      <c r="X22" s="94">
        <v>0</v>
      </c>
      <c r="Y22" s="94">
        <v>0</v>
      </c>
      <c r="Z22" s="94">
        <f>0.00101666666666667*0.42</f>
        <v>4.2700000000000143E-4</v>
      </c>
      <c r="AA22" s="94">
        <f>0.0218045763760049*0.42</f>
        <v>9.1579220779220583E-3</v>
      </c>
      <c r="AB22" s="94">
        <f>0.002*0.42</f>
        <v>8.4000000000000003E-4</v>
      </c>
      <c r="AC22" s="94">
        <v>0</v>
      </c>
      <c r="AD22" s="94">
        <v>0</v>
      </c>
      <c r="AE22" s="94">
        <f>0.0150580832444444*0.42</f>
        <v>6.3243949626666483E-3</v>
      </c>
      <c r="AF22" s="94">
        <f>0.105667016806723*0.42</f>
        <v>4.4380147058823656E-2</v>
      </c>
      <c r="AG22" s="94">
        <v>0</v>
      </c>
      <c r="AH22" s="94">
        <v>0</v>
      </c>
      <c r="AI22" s="94">
        <v>0</v>
      </c>
      <c r="AJ22" s="94">
        <v>0</v>
      </c>
      <c r="AK22" s="94">
        <v>0</v>
      </c>
      <c r="AL22" s="94">
        <v>0</v>
      </c>
      <c r="AM22" s="94">
        <v>0</v>
      </c>
      <c r="AN22" s="94">
        <v>0</v>
      </c>
      <c r="AO22" s="94">
        <v>0.13700000000000001</v>
      </c>
      <c r="AP22" s="94">
        <v>0.1903</v>
      </c>
      <c r="AQ22" s="94">
        <v>0.15897</v>
      </c>
      <c r="AR22" s="94">
        <v>0</v>
      </c>
      <c r="AS22" s="94">
        <f>0.0759925609645094*0.42</f>
        <v>3.1916875605093951E-2</v>
      </c>
      <c r="AT22" s="94">
        <v>0</v>
      </c>
      <c r="AU22" s="94">
        <v>0</v>
      </c>
      <c r="AV22" s="94">
        <v>1.17365989165755E-2</v>
      </c>
      <c r="AW22" s="94">
        <v>1.06060606060606E-2</v>
      </c>
      <c r="AX22" s="94">
        <v>0.02</v>
      </c>
      <c r="AY22" s="94">
        <v>0</v>
      </c>
      <c r="AZ22" s="94">
        <v>0</v>
      </c>
      <c r="BA22" s="94">
        <v>0</v>
      </c>
      <c r="BB22" s="94">
        <v>0</v>
      </c>
    </row>
    <row r="23" spans="1:54" x14ac:dyDescent="0.25">
      <c r="A23" s="96">
        <f t="shared" si="0"/>
        <v>19</v>
      </c>
      <c r="B23" s="95" t="s">
        <v>546</v>
      </c>
      <c r="C23" s="94">
        <v>0</v>
      </c>
      <c r="D23" s="94">
        <v>0</v>
      </c>
      <c r="E23" s="94">
        <v>0</v>
      </c>
      <c r="F23" s="94">
        <v>0</v>
      </c>
      <c r="G23" s="94">
        <v>0</v>
      </c>
      <c r="H23" s="94">
        <v>0</v>
      </c>
      <c r="I23" s="94">
        <v>0</v>
      </c>
      <c r="J23" s="94">
        <v>0</v>
      </c>
      <c r="K23" s="94">
        <v>0</v>
      </c>
      <c r="L23" s="94">
        <v>0</v>
      </c>
      <c r="M23" s="94">
        <v>0</v>
      </c>
      <c r="N23" s="94">
        <v>0</v>
      </c>
      <c r="O23" s="94">
        <v>0</v>
      </c>
      <c r="P23" s="94">
        <v>0</v>
      </c>
      <c r="Q23" s="94">
        <v>0</v>
      </c>
      <c r="R23" s="94">
        <v>0</v>
      </c>
      <c r="S23" s="94">
        <v>0</v>
      </c>
      <c r="T23" s="94">
        <v>0</v>
      </c>
      <c r="U23" s="94">
        <v>0</v>
      </c>
      <c r="V23" s="94">
        <v>0</v>
      </c>
      <c r="W23" s="94">
        <v>0</v>
      </c>
      <c r="X23" s="94">
        <v>0</v>
      </c>
      <c r="Y23" s="94">
        <v>0</v>
      </c>
      <c r="Z23" s="94">
        <v>2.8833333333333302E-3</v>
      </c>
      <c r="AA23" s="94">
        <v>0</v>
      </c>
      <c r="AB23" s="94">
        <v>0</v>
      </c>
      <c r="AC23" s="94">
        <v>0</v>
      </c>
      <c r="AD23" s="94">
        <v>0</v>
      </c>
      <c r="AE23" s="94">
        <v>0</v>
      </c>
      <c r="AF23" s="94">
        <v>0</v>
      </c>
      <c r="AG23" s="94">
        <v>0</v>
      </c>
      <c r="AH23" s="94">
        <v>0</v>
      </c>
      <c r="AI23" s="94">
        <v>0</v>
      </c>
      <c r="AJ23" s="94">
        <v>0</v>
      </c>
      <c r="AK23" s="94">
        <v>0</v>
      </c>
      <c r="AL23" s="94">
        <v>0</v>
      </c>
      <c r="AM23" s="94">
        <v>0</v>
      </c>
      <c r="AN23" s="94">
        <v>0</v>
      </c>
      <c r="AO23" s="94">
        <v>0.17100000000000001</v>
      </c>
      <c r="AP23" s="94">
        <v>0.13200000000000001</v>
      </c>
      <c r="AQ23" s="94">
        <v>0.59621000000000002</v>
      </c>
      <c r="AR23" s="94">
        <v>0</v>
      </c>
      <c r="AS23" s="94">
        <v>0</v>
      </c>
      <c r="AT23" s="94">
        <v>0</v>
      </c>
      <c r="AU23" s="94">
        <v>0</v>
      </c>
      <c r="AV23" s="94">
        <v>1.0154186198685602E-2</v>
      </c>
      <c r="AW23" s="94">
        <v>1.06060606060606E-2</v>
      </c>
      <c r="AX23" s="94">
        <v>0.02</v>
      </c>
      <c r="AY23" s="94">
        <v>0</v>
      </c>
      <c r="AZ23" s="94">
        <v>0</v>
      </c>
      <c r="BA23" s="94">
        <v>0</v>
      </c>
      <c r="BB23" s="94">
        <v>0</v>
      </c>
    </row>
    <row r="24" spans="1:54" x14ac:dyDescent="0.25">
      <c r="A24" s="96">
        <f t="shared" si="0"/>
        <v>20</v>
      </c>
      <c r="B24" s="95" t="s">
        <v>424</v>
      </c>
      <c r="C24" s="94">
        <v>0</v>
      </c>
      <c r="D24" s="94">
        <v>0</v>
      </c>
      <c r="E24" s="94">
        <v>0</v>
      </c>
      <c r="F24" s="94">
        <v>0</v>
      </c>
      <c r="G24" s="94">
        <v>0</v>
      </c>
      <c r="H24" s="94">
        <v>0</v>
      </c>
      <c r="I24" s="94">
        <v>0</v>
      </c>
      <c r="J24" s="94">
        <v>0</v>
      </c>
      <c r="K24" s="94">
        <v>0</v>
      </c>
      <c r="L24" s="94">
        <v>0</v>
      </c>
      <c r="M24" s="94">
        <v>0</v>
      </c>
      <c r="N24" s="94">
        <v>0</v>
      </c>
      <c r="O24" s="94">
        <v>0</v>
      </c>
      <c r="P24" s="94">
        <v>0</v>
      </c>
      <c r="Q24" s="94">
        <v>0</v>
      </c>
      <c r="R24" s="94">
        <v>0</v>
      </c>
      <c r="S24" s="94">
        <v>0</v>
      </c>
      <c r="T24" s="94">
        <v>0</v>
      </c>
      <c r="U24" s="94">
        <v>0</v>
      </c>
      <c r="V24" s="94">
        <v>0</v>
      </c>
      <c r="W24" s="94">
        <v>0</v>
      </c>
      <c r="X24" s="94">
        <v>0</v>
      </c>
      <c r="Y24" s="94">
        <v>0</v>
      </c>
      <c r="Z24" s="94">
        <v>0</v>
      </c>
      <c r="AA24" s="94">
        <v>0</v>
      </c>
      <c r="AB24" s="94">
        <v>0</v>
      </c>
      <c r="AC24" s="94">
        <v>0</v>
      </c>
      <c r="AD24" s="94">
        <v>0</v>
      </c>
      <c r="AE24" s="94">
        <v>0</v>
      </c>
      <c r="AF24" s="94">
        <v>0</v>
      </c>
      <c r="AG24" s="94">
        <v>0</v>
      </c>
      <c r="AH24" s="94">
        <v>0</v>
      </c>
      <c r="AI24" s="94">
        <v>0</v>
      </c>
      <c r="AJ24" s="94">
        <v>0</v>
      </c>
      <c r="AK24" s="94">
        <v>0</v>
      </c>
      <c r="AL24" s="94">
        <v>0</v>
      </c>
      <c r="AM24" s="94">
        <v>0</v>
      </c>
      <c r="AN24" s="94">
        <v>0</v>
      </c>
      <c r="AO24" s="94">
        <v>0</v>
      </c>
      <c r="AP24" s="94">
        <v>0</v>
      </c>
      <c r="AQ24" s="94">
        <v>0</v>
      </c>
      <c r="AR24" s="94">
        <v>0</v>
      </c>
      <c r="AS24" s="94">
        <v>0</v>
      </c>
      <c r="AT24" s="94">
        <v>0</v>
      </c>
      <c r="AU24" s="94">
        <v>0</v>
      </c>
      <c r="AV24" s="94">
        <v>0</v>
      </c>
      <c r="AW24" s="94">
        <v>0</v>
      </c>
      <c r="AX24" s="94">
        <v>0</v>
      </c>
      <c r="AY24" s="94">
        <v>0</v>
      </c>
      <c r="AZ24" s="94">
        <v>0</v>
      </c>
      <c r="BA24" s="94">
        <v>0</v>
      </c>
      <c r="BB24" s="94">
        <v>0</v>
      </c>
    </row>
    <row r="25" spans="1:54" x14ac:dyDescent="0.25">
      <c r="A25" s="96">
        <f t="shared" si="0"/>
        <v>21</v>
      </c>
      <c r="B25" s="95" t="s">
        <v>427</v>
      </c>
      <c r="C25" s="94">
        <v>0</v>
      </c>
      <c r="D25" s="94">
        <v>0</v>
      </c>
      <c r="E25" s="94">
        <v>0</v>
      </c>
      <c r="F25" s="94">
        <v>0</v>
      </c>
      <c r="G25" s="94">
        <v>0</v>
      </c>
      <c r="H25" s="94">
        <v>0</v>
      </c>
      <c r="I25" s="94">
        <v>0</v>
      </c>
      <c r="J25" s="94">
        <v>0</v>
      </c>
      <c r="K25" s="94">
        <v>0</v>
      </c>
      <c r="L25" s="94">
        <v>0</v>
      </c>
      <c r="M25" s="94">
        <v>0</v>
      </c>
      <c r="N25" s="94">
        <v>0</v>
      </c>
      <c r="O25" s="94">
        <v>0</v>
      </c>
      <c r="P25" s="94">
        <v>0</v>
      </c>
      <c r="Q25" s="94">
        <v>0</v>
      </c>
      <c r="R25" s="94">
        <v>0</v>
      </c>
      <c r="S25" s="94">
        <v>0</v>
      </c>
      <c r="T25" s="94">
        <v>0</v>
      </c>
      <c r="U25" s="94">
        <v>0</v>
      </c>
      <c r="V25" s="94">
        <v>0</v>
      </c>
      <c r="W25" s="94">
        <v>0</v>
      </c>
      <c r="X25" s="94">
        <v>0</v>
      </c>
      <c r="Y25" s="94">
        <v>0</v>
      </c>
      <c r="Z25" s="94">
        <v>0</v>
      </c>
      <c r="AA25" s="94">
        <v>0</v>
      </c>
      <c r="AB25" s="94">
        <v>0</v>
      </c>
      <c r="AC25" s="94">
        <v>0</v>
      </c>
      <c r="AD25" s="94">
        <v>0</v>
      </c>
      <c r="AE25" s="94">
        <v>0</v>
      </c>
      <c r="AF25" s="94">
        <v>0</v>
      </c>
      <c r="AG25" s="94">
        <v>0</v>
      </c>
      <c r="AH25" s="94">
        <v>0</v>
      </c>
      <c r="AI25" s="94">
        <v>0</v>
      </c>
      <c r="AJ25" s="94">
        <v>0</v>
      </c>
      <c r="AK25" s="94">
        <v>0</v>
      </c>
      <c r="AL25" s="94">
        <v>0</v>
      </c>
      <c r="AM25" s="94">
        <v>0</v>
      </c>
      <c r="AN25" s="94">
        <v>0</v>
      </c>
      <c r="AO25" s="94">
        <v>0</v>
      </c>
      <c r="AP25" s="94">
        <v>0</v>
      </c>
      <c r="AQ25" s="94">
        <v>0</v>
      </c>
      <c r="AR25" s="94">
        <v>0</v>
      </c>
      <c r="AS25" s="94">
        <v>0</v>
      </c>
      <c r="AT25" s="94">
        <v>0</v>
      </c>
      <c r="AU25" s="94">
        <v>0</v>
      </c>
      <c r="AV25" s="94">
        <v>7.4527272727272697E-3</v>
      </c>
      <c r="AW25" s="94">
        <v>1.06060606060606E-2</v>
      </c>
      <c r="AX25" s="94">
        <v>0.02</v>
      </c>
      <c r="AY25" s="94">
        <v>0</v>
      </c>
      <c r="AZ25" s="94">
        <v>0</v>
      </c>
      <c r="BA25" s="94">
        <v>0</v>
      </c>
      <c r="BB25" s="94">
        <v>0</v>
      </c>
    </row>
    <row r="26" spans="1:54" x14ac:dyDescent="0.25">
      <c r="A26" s="96">
        <f t="shared" si="0"/>
        <v>22</v>
      </c>
      <c r="B26" s="95" t="s">
        <v>556</v>
      </c>
      <c r="C26" s="94">
        <v>0</v>
      </c>
      <c r="D26" s="94">
        <v>0</v>
      </c>
      <c r="E26" s="94">
        <v>0</v>
      </c>
      <c r="F26" s="94">
        <v>0</v>
      </c>
      <c r="G26" s="94">
        <v>0</v>
      </c>
      <c r="H26" s="94">
        <v>0</v>
      </c>
      <c r="I26" s="94">
        <v>0</v>
      </c>
      <c r="J26" s="94">
        <v>0</v>
      </c>
      <c r="K26" s="94">
        <v>0</v>
      </c>
      <c r="L26" s="94">
        <v>0</v>
      </c>
      <c r="M26" s="94">
        <v>0</v>
      </c>
      <c r="N26" s="94">
        <v>0</v>
      </c>
      <c r="O26" s="94">
        <v>0</v>
      </c>
      <c r="P26" s="94">
        <v>0</v>
      </c>
      <c r="Q26" s="94">
        <v>0</v>
      </c>
      <c r="R26" s="94">
        <v>0</v>
      </c>
      <c r="S26" s="94">
        <v>0</v>
      </c>
      <c r="T26" s="94">
        <v>0</v>
      </c>
      <c r="U26" s="94">
        <v>3.6111111111111101E-3</v>
      </c>
      <c r="V26" s="94">
        <v>0</v>
      </c>
      <c r="W26" s="94">
        <v>0</v>
      </c>
      <c r="X26" s="94">
        <v>0</v>
      </c>
      <c r="Y26" s="94">
        <v>0</v>
      </c>
      <c r="Z26" s="94">
        <v>0</v>
      </c>
      <c r="AA26" s="94">
        <v>0</v>
      </c>
      <c r="AB26" s="94">
        <v>0</v>
      </c>
      <c r="AC26" s="94">
        <v>0</v>
      </c>
      <c r="AD26" s="94">
        <v>0</v>
      </c>
      <c r="AE26" s="94">
        <v>0</v>
      </c>
      <c r="AF26" s="94">
        <v>0</v>
      </c>
      <c r="AG26" s="94">
        <v>0</v>
      </c>
      <c r="AH26" s="94">
        <v>0</v>
      </c>
      <c r="AI26" s="100">
        <v>2.0162999999999986E-3</v>
      </c>
      <c r="AJ26" s="94">
        <v>0</v>
      </c>
      <c r="AK26" s="94">
        <v>0</v>
      </c>
      <c r="AL26" s="94">
        <v>0</v>
      </c>
      <c r="AM26" s="94">
        <v>0</v>
      </c>
      <c r="AN26" s="94">
        <v>0</v>
      </c>
      <c r="AO26" s="94">
        <v>0</v>
      </c>
      <c r="AP26" s="94">
        <v>0</v>
      </c>
      <c r="AQ26" s="94">
        <v>0</v>
      </c>
      <c r="AR26" s="94">
        <v>0</v>
      </c>
      <c r="AS26" s="94">
        <v>5.0000000000000001E-4</v>
      </c>
      <c r="AT26" s="94">
        <v>0</v>
      </c>
      <c r="AU26" s="94">
        <v>0</v>
      </c>
      <c r="AV26" s="94">
        <v>1.23387166683138E-2</v>
      </c>
      <c r="AW26" s="94">
        <v>1.06060606060606E-2</v>
      </c>
      <c r="AX26" s="94">
        <v>0</v>
      </c>
      <c r="AY26" s="94">
        <v>0</v>
      </c>
      <c r="AZ26" s="94">
        <v>0</v>
      </c>
      <c r="BA26" s="94">
        <v>0</v>
      </c>
      <c r="BB26" s="94">
        <v>0</v>
      </c>
    </row>
    <row r="27" spans="1:54" x14ac:dyDescent="0.25">
      <c r="A27" s="96">
        <f t="shared" si="0"/>
        <v>23</v>
      </c>
      <c r="B27" s="95" t="s">
        <v>433</v>
      </c>
      <c r="C27" s="94">
        <v>0</v>
      </c>
      <c r="D27" s="94">
        <v>0</v>
      </c>
      <c r="E27" s="94">
        <v>0</v>
      </c>
      <c r="F27" s="94">
        <v>0</v>
      </c>
      <c r="G27" s="94">
        <v>0</v>
      </c>
      <c r="H27" s="94">
        <v>0</v>
      </c>
      <c r="I27" s="94">
        <v>0</v>
      </c>
      <c r="J27" s="94">
        <v>0</v>
      </c>
      <c r="K27" s="94">
        <v>0</v>
      </c>
      <c r="L27" s="94">
        <v>0</v>
      </c>
      <c r="M27" s="94">
        <v>0</v>
      </c>
      <c r="N27" s="94">
        <v>0</v>
      </c>
      <c r="O27" s="94">
        <v>0</v>
      </c>
      <c r="P27" s="94">
        <v>0</v>
      </c>
      <c r="Q27" s="94">
        <v>0</v>
      </c>
      <c r="R27" s="94">
        <v>0</v>
      </c>
      <c r="S27" s="94">
        <v>0</v>
      </c>
      <c r="T27" s="94">
        <v>0</v>
      </c>
      <c r="U27" s="94">
        <v>0</v>
      </c>
      <c r="V27" s="94">
        <v>0</v>
      </c>
      <c r="W27" s="94">
        <v>0</v>
      </c>
      <c r="X27" s="94">
        <v>0</v>
      </c>
      <c r="Y27" s="94">
        <v>0</v>
      </c>
      <c r="Z27" s="94">
        <v>0</v>
      </c>
      <c r="AA27" s="94">
        <v>0</v>
      </c>
      <c r="AB27" s="94">
        <v>0</v>
      </c>
      <c r="AC27" s="94">
        <v>0</v>
      </c>
      <c r="AD27" s="94">
        <v>0</v>
      </c>
      <c r="AE27" s="94">
        <v>0</v>
      </c>
      <c r="AF27" s="94">
        <v>0</v>
      </c>
      <c r="AG27" s="94">
        <v>0</v>
      </c>
      <c r="AH27" s="94">
        <v>0</v>
      </c>
      <c r="AI27" s="94">
        <v>0</v>
      </c>
      <c r="AJ27" s="94">
        <v>0</v>
      </c>
      <c r="AK27" s="94">
        <v>0</v>
      </c>
      <c r="AL27" s="94">
        <v>0</v>
      </c>
      <c r="AM27" s="94">
        <v>0</v>
      </c>
      <c r="AN27" s="94">
        <v>0</v>
      </c>
      <c r="AO27" s="94">
        <v>0</v>
      </c>
      <c r="AP27" s="94">
        <v>0</v>
      </c>
      <c r="AQ27" s="94">
        <v>0</v>
      </c>
      <c r="AR27" s="94">
        <v>0</v>
      </c>
      <c r="AS27" s="94">
        <v>0</v>
      </c>
      <c r="AT27" s="94">
        <v>0</v>
      </c>
      <c r="AU27" s="94">
        <v>0</v>
      </c>
      <c r="AV27" s="94">
        <v>0.25499506127272703</v>
      </c>
      <c r="AW27" s="94">
        <v>6.9444444444444406E-2</v>
      </c>
      <c r="AX27" s="94">
        <v>0.2</v>
      </c>
      <c r="AY27" s="94">
        <v>0</v>
      </c>
      <c r="AZ27" s="94">
        <v>0</v>
      </c>
      <c r="BA27" s="94">
        <v>0</v>
      </c>
      <c r="BB27" s="94">
        <v>0</v>
      </c>
    </row>
    <row r="28" spans="1:54" x14ac:dyDescent="0.25">
      <c r="A28" s="96">
        <f t="shared" si="0"/>
        <v>24</v>
      </c>
      <c r="B28" s="95" t="s">
        <v>728</v>
      </c>
      <c r="C28" s="94">
        <v>0</v>
      </c>
      <c r="D28" s="94">
        <v>0</v>
      </c>
      <c r="E28" s="94">
        <v>0</v>
      </c>
      <c r="F28" s="94">
        <v>0</v>
      </c>
      <c r="G28" s="94">
        <v>0</v>
      </c>
      <c r="H28" s="94">
        <v>0</v>
      </c>
      <c r="I28" s="94">
        <v>0</v>
      </c>
      <c r="J28" s="94">
        <v>0</v>
      </c>
      <c r="K28" s="94">
        <v>0</v>
      </c>
      <c r="L28" s="94">
        <v>0</v>
      </c>
      <c r="M28" s="94">
        <v>0</v>
      </c>
      <c r="N28" s="94">
        <v>0</v>
      </c>
      <c r="O28" s="94">
        <v>0</v>
      </c>
      <c r="P28" s="94">
        <v>0</v>
      </c>
      <c r="Q28" s="94">
        <v>0</v>
      </c>
      <c r="R28" s="94">
        <v>0</v>
      </c>
      <c r="S28" s="94">
        <v>0</v>
      </c>
      <c r="T28" s="94">
        <v>0</v>
      </c>
      <c r="U28" s="94">
        <v>8.1111111111111097E-4</v>
      </c>
      <c r="V28" s="94">
        <v>0</v>
      </c>
      <c r="W28" s="94">
        <v>0</v>
      </c>
      <c r="X28" s="94">
        <v>7.5199999999999998E-3</v>
      </c>
      <c r="Y28" s="94">
        <v>0</v>
      </c>
      <c r="Z28" s="94">
        <v>0</v>
      </c>
      <c r="AA28" s="94">
        <v>0</v>
      </c>
      <c r="AB28" s="94">
        <v>0</v>
      </c>
      <c r="AC28" s="94">
        <v>0</v>
      </c>
      <c r="AD28" s="94">
        <v>0</v>
      </c>
      <c r="AE28" s="94">
        <v>0</v>
      </c>
      <c r="AF28" s="94">
        <v>0</v>
      </c>
      <c r="AG28" s="94">
        <v>0</v>
      </c>
      <c r="AH28" s="94">
        <v>0</v>
      </c>
      <c r="AI28" s="94">
        <v>0</v>
      </c>
      <c r="AJ28" s="94">
        <v>0</v>
      </c>
      <c r="AK28" s="94">
        <v>0</v>
      </c>
      <c r="AL28" s="94">
        <v>0</v>
      </c>
      <c r="AM28" s="94">
        <v>0</v>
      </c>
      <c r="AN28" s="94">
        <v>0</v>
      </c>
      <c r="AO28" s="94">
        <v>0</v>
      </c>
      <c r="AP28" s="94">
        <v>1.2500000000000001E-2</v>
      </c>
      <c r="AQ28" s="94">
        <v>0</v>
      </c>
      <c r="AR28" s="94">
        <v>0</v>
      </c>
      <c r="AS28" s="94">
        <v>0</v>
      </c>
      <c r="AT28" s="94">
        <v>0</v>
      </c>
      <c r="AU28" s="94">
        <v>0</v>
      </c>
      <c r="AV28" s="94">
        <v>0</v>
      </c>
      <c r="AW28" s="94">
        <v>0</v>
      </c>
      <c r="AX28" s="94">
        <v>0</v>
      </c>
      <c r="AY28" s="94">
        <v>0</v>
      </c>
      <c r="AZ28" s="94">
        <v>0</v>
      </c>
      <c r="BA28" s="94">
        <v>0</v>
      </c>
      <c r="BB28" s="94">
        <v>0</v>
      </c>
    </row>
    <row r="29" spans="1:54" x14ac:dyDescent="0.25">
      <c r="A29" s="96">
        <f t="shared" si="0"/>
        <v>25</v>
      </c>
      <c r="B29" s="95" t="s">
        <v>729</v>
      </c>
      <c r="C29" s="94">
        <v>0</v>
      </c>
      <c r="D29" s="94">
        <v>0</v>
      </c>
      <c r="E29" s="94">
        <v>0</v>
      </c>
      <c r="F29" s="94">
        <v>0</v>
      </c>
      <c r="G29" s="94">
        <v>0</v>
      </c>
      <c r="H29" s="94">
        <v>0</v>
      </c>
      <c r="I29" s="94">
        <v>0</v>
      </c>
      <c r="J29" s="94">
        <v>0</v>
      </c>
      <c r="K29" s="94">
        <v>0</v>
      </c>
      <c r="L29" s="94">
        <v>0</v>
      </c>
      <c r="M29" s="94">
        <v>0</v>
      </c>
      <c r="N29" s="94">
        <v>0</v>
      </c>
      <c r="O29" s="94">
        <v>0</v>
      </c>
      <c r="P29" s="94">
        <v>0</v>
      </c>
      <c r="Q29" s="94">
        <v>0</v>
      </c>
      <c r="R29" s="94">
        <v>0</v>
      </c>
      <c r="S29" s="94">
        <v>0</v>
      </c>
      <c r="T29" s="94">
        <v>0</v>
      </c>
      <c r="U29" s="94">
        <v>0</v>
      </c>
      <c r="V29" s="94">
        <v>0</v>
      </c>
      <c r="W29" s="94">
        <v>0</v>
      </c>
      <c r="X29" s="94">
        <v>0</v>
      </c>
      <c r="Y29" s="94">
        <v>0</v>
      </c>
      <c r="Z29" s="94">
        <v>0</v>
      </c>
      <c r="AA29" s="94">
        <v>9.4409400123685819E-3</v>
      </c>
      <c r="AB29" s="94">
        <v>0</v>
      </c>
      <c r="AC29" s="94">
        <v>0</v>
      </c>
      <c r="AD29" s="94">
        <v>0</v>
      </c>
      <c r="AE29" s="94">
        <v>0</v>
      </c>
      <c r="AF29" s="94">
        <v>1.8671918767506956E-2</v>
      </c>
      <c r="AG29" s="94">
        <v>0</v>
      </c>
      <c r="AH29" s="94">
        <v>0</v>
      </c>
      <c r="AI29" s="94">
        <v>0</v>
      </c>
      <c r="AJ29" s="94">
        <v>0</v>
      </c>
      <c r="AK29" s="94">
        <v>0</v>
      </c>
      <c r="AL29" s="94">
        <v>0</v>
      </c>
      <c r="AM29" s="94">
        <v>0</v>
      </c>
      <c r="AN29" s="94">
        <v>0</v>
      </c>
      <c r="AO29" s="94">
        <v>0</v>
      </c>
      <c r="AP29" s="94">
        <v>0</v>
      </c>
      <c r="AQ29" s="94">
        <v>0</v>
      </c>
      <c r="AR29" s="94">
        <v>0</v>
      </c>
      <c r="AS29" s="94">
        <v>0</v>
      </c>
      <c r="AT29" s="94">
        <v>0</v>
      </c>
      <c r="AU29" s="94">
        <v>0</v>
      </c>
      <c r="AV29" s="94">
        <v>0</v>
      </c>
      <c r="AW29" s="94">
        <v>0</v>
      </c>
      <c r="AX29" s="94">
        <v>0</v>
      </c>
      <c r="AY29" s="94">
        <v>0</v>
      </c>
      <c r="AZ29" s="94">
        <v>0</v>
      </c>
      <c r="BA29" s="94">
        <v>0</v>
      </c>
      <c r="BB29" s="94">
        <v>0</v>
      </c>
    </row>
    <row r="30" spans="1:54" x14ac:dyDescent="0.25">
      <c r="A30" s="96">
        <f t="shared" si="0"/>
        <v>26</v>
      </c>
      <c r="B30" s="95" t="s">
        <v>730</v>
      </c>
      <c r="C30" s="94">
        <v>0</v>
      </c>
      <c r="D30" s="94">
        <v>0</v>
      </c>
      <c r="E30" s="94">
        <v>0</v>
      </c>
      <c r="F30" s="94">
        <v>0</v>
      </c>
      <c r="G30" s="94">
        <v>0</v>
      </c>
      <c r="H30" s="94">
        <v>0</v>
      </c>
      <c r="I30" s="94">
        <v>0</v>
      </c>
      <c r="J30" s="94">
        <v>0</v>
      </c>
      <c r="K30" s="94">
        <v>0</v>
      </c>
      <c r="L30" s="94">
        <v>0</v>
      </c>
      <c r="M30" s="94">
        <v>0</v>
      </c>
      <c r="N30" s="94">
        <v>0</v>
      </c>
      <c r="O30" s="94">
        <v>0</v>
      </c>
      <c r="P30" s="94">
        <v>0</v>
      </c>
      <c r="Q30" s="94">
        <v>0</v>
      </c>
      <c r="R30" s="94">
        <v>0</v>
      </c>
      <c r="S30" s="94">
        <v>0</v>
      </c>
      <c r="T30" s="94">
        <v>0</v>
      </c>
      <c r="U30" s="94">
        <v>0</v>
      </c>
      <c r="V30" s="94">
        <v>0</v>
      </c>
      <c r="W30" s="94">
        <v>0</v>
      </c>
      <c r="X30" s="94">
        <v>0</v>
      </c>
      <c r="Y30" s="94">
        <v>0</v>
      </c>
      <c r="Z30" s="94">
        <v>0</v>
      </c>
      <c r="AA30" s="94">
        <v>0</v>
      </c>
      <c r="AB30" s="94">
        <v>0</v>
      </c>
      <c r="AC30" s="94">
        <v>0</v>
      </c>
      <c r="AD30" s="94">
        <v>0</v>
      </c>
      <c r="AE30" s="94">
        <v>0</v>
      </c>
      <c r="AF30" s="94">
        <v>0</v>
      </c>
      <c r="AG30" s="94">
        <v>0</v>
      </c>
      <c r="AH30" s="94">
        <v>0</v>
      </c>
      <c r="AI30" s="94">
        <v>0</v>
      </c>
      <c r="AJ30" s="94">
        <v>0</v>
      </c>
      <c r="AK30" s="94">
        <v>0</v>
      </c>
      <c r="AL30" s="94">
        <v>0</v>
      </c>
      <c r="AM30" s="94">
        <v>0</v>
      </c>
      <c r="AN30" s="94">
        <v>0</v>
      </c>
      <c r="AO30" s="94">
        <v>0</v>
      </c>
      <c r="AP30" s="94">
        <v>0</v>
      </c>
      <c r="AQ30" s="94">
        <v>0</v>
      </c>
      <c r="AR30" s="94">
        <v>0</v>
      </c>
      <c r="AS30" s="94">
        <v>0</v>
      </c>
      <c r="AT30" s="94">
        <v>0</v>
      </c>
      <c r="AU30" s="94">
        <v>0</v>
      </c>
      <c r="AV30" s="94">
        <v>0</v>
      </c>
      <c r="AW30" s="94">
        <v>0</v>
      </c>
      <c r="AX30" s="94">
        <v>0</v>
      </c>
      <c r="AY30" s="94">
        <v>0</v>
      </c>
      <c r="AZ30" s="94">
        <v>0</v>
      </c>
      <c r="BA30" s="94">
        <v>0</v>
      </c>
      <c r="BB30" s="94">
        <v>0</v>
      </c>
    </row>
    <row r="31" spans="1:54" x14ac:dyDescent="0.25">
      <c r="A31" s="96">
        <f t="shared" si="0"/>
        <v>27</v>
      </c>
      <c r="B31" s="95" t="s">
        <v>731</v>
      </c>
      <c r="C31" s="94">
        <v>0</v>
      </c>
      <c r="D31" s="94">
        <v>0</v>
      </c>
      <c r="E31" s="94">
        <v>0</v>
      </c>
      <c r="F31" s="94">
        <v>0</v>
      </c>
      <c r="G31" s="94">
        <v>0</v>
      </c>
      <c r="H31" s="94">
        <v>0</v>
      </c>
      <c r="I31" s="94">
        <v>0</v>
      </c>
      <c r="J31" s="94">
        <v>0</v>
      </c>
      <c r="K31" s="94">
        <v>0</v>
      </c>
      <c r="L31" s="94">
        <v>0</v>
      </c>
      <c r="M31" s="94">
        <v>0</v>
      </c>
      <c r="N31" s="94">
        <v>0</v>
      </c>
      <c r="O31" s="94">
        <v>0</v>
      </c>
      <c r="P31" s="94">
        <v>0</v>
      </c>
      <c r="Q31" s="94">
        <v>0</v>
      </c>
      <c r="R31" s="94">
        <v>0</v>
      </c>
      <c r="S31" s="94">
        <v>0</v>
      </c>
      <c r="T31" s="94">
        <v>0</v>
      </c>
      <c r="U31" s="94">
        <v>0</v>
      </c>
      <c r="V31" s="94">
        <v>0</v>
      </c>
      <c r="W31" s="94">
        <v>0</v>
      </c>
      <c r="X31" s="94">
        <v>0</v>
      </c>
      <c r="Y31" s="94">
        <v>0</v>
      </c>
      <c r="Z31" s="94">
        <v>0</v>
      </c>
      <c r="AA31" s="94">
        <v>0</v>
      </c>
      <c r="AB31" s="94">
        <v>0</v>
      </c>
      <c r="AC31" s="94">
        <v>0</v>
      </c>
      <c r="AD31" s="94">
        <v>0</v>
      </c>
      <c r="AE31" s="94">
        <v>0</v>
      </c>
      <c r="AF31" s="94">
        <v>0</v>
      </c>
      <c r="AG31" s="94">
        <v>0</v>
      </c>
      <c r="AH31" s="94">
        <v>0</v>
      </c>
      <c r="AI31" s="94">
        <v>0</v>
      </c>
      <c r="AJ31" s="94">
        <v>0</v>
      </c>
      <c r="AK31" s="94">
        <v>0</v>
      </c>
      <c r="AL31" s="94">
        <v>0</v>
      </c>
      <c r="AM31" s="94">
        <v>0</v>
      </c>
      <c r="AN31" s="94">
        <v>0</v>
      </c>
      <c r="AO31" s="94">
        <v>0</v>
      </c>
      <c r="AP31" s="94">
        <v>0</v>
      </c>
      <c r="AQ31" s="94">
        <v>0</v>
      </c>
      <c r="AR31" s="94">
        <v>0</v>
      </c>
      <c r="AS31" s="94">
        <v>0</v>
      </c>
      <c r="AT31" s="94">
        <v>0</v>
      </c>
      <c r="AU31" s="94">
        <v>0</v>
      </c>
      <c r="AV31" s="94">
        <v>0</v>
      </c>
      <c r="AW31" s="94">
        <v>0</v>
      </c>
      <c r="AX31" s="94">
        <v>0</v>
      </c>
      <c r="AY31" s="94">
        <v>0</v>
      </c>
      <c r="AZ31" s="94">
        <v>0</v>
      </c>
      <c r="BA31" s="94">
        <v>0</v>
      </c>
      <c r="BB31" s="94">
        <v>0</v>
      </c>
    </row>
    <row r="32" spans="1:54" x14ac:dyDescent="0.25">
      <c r="A32" s="96">
        <f t="shared" si="0"/>
        <v>28</v>
      </c>
      <c r="B32" s="95" t="s">
        <v>447</v>
      </c>
      <c r="C32" s="94">
        <v>0</v>
      </c>
      <c r="D32" s="94">
        <v>0</v>
      </c>
      <c r="E32" s="94">
        <v>0</v>
      </c>
      <c r="F32" s="94">
        <v>0</v>
      </c>
      <c r="G32" s="94">
        <v>0</v>
      </c>
      <c r="H32" s="94">
        <v>0</v>
      </c>
      <c r="I32" s="94">
        <v>0</v>
      </c>
      <c r="J32" s="94">
        <v>0</v>
      </c>
      <c r="K32" s="94">
        <v>0</v>
      </c>
      <c r="L32" s="94">
        <v>0</v>
      </c>
      <c r="M32" s="94">
        <v>0</v>
      </c>
      <c r="N32" s="94">
        <v>0</v>
      </c>
      <c r="O32" s="94">
        <v>0</v>
      </c>
      <c r="P32" s="94">
        <v>0</v>
      </c>
      <c r="Q32" s="94">
        <v>0</v>
      </c>
      <c r="R32" s="94">
        <v>0</v>
      </c>
      <c r="S32" s="94">
        <v>0</v>
      </c>
      <c r="T32" s="94">
        <v>0</v>
      </c>
      <c r="U32" s="94">
        <v>0</v>
      </c>
      <c r="V32" s="94">
        <v>0</v>
      </c>
      <c r="W32" s="94">
        <v>0</v>
      </c>
      <c r="X32" s="94">
        <v>0</v>
      </c>
      <c r="Y32" s="94">
        <v>0</v>
      </c>
      <c r="Z32" s="94">
        <v>0</v>
      </c>
      <c r="AA32" s="94">
        <v>0</v>
      </c>
      <c r="AB32" s="94">
        <v>0</v>
      </c>
      <c r="AC32" s="94">
        <v>0</v>
      </c>
      <c r="AD32" s="94">
        <v>0</v>
      </c>
      <c r="AE32" s="94">
        <v>0</v>
      </c>
      <c r="AF32" s="94">
        <v>0</v>
      </c>
      <c r="AG32" s="94">
        <v>0</v>
      </c>
      <c r="AH32" s="94">
        <v>0</v>
      </c>
      <c r="AI32" s="94">
        <v>0</v>
      </c>
      <c r="AJ32" s="94">
        <v>0</v>
      </c>
      <c r="AK32" s="94">
        <v>0</v>
      </c>
      <c r="AL32" s="94">
        <v>0</v>
      </c>
      <c r="AM32" s="94">
        <v>0</v>
      </c>
      <c r="AN32" s="94">
        <v>0</v>
      </c>
      <c r="AO32" s="94">
        <v>0</v>
      </c>
      <c r="AP32" s="94">
        <v>0</v>
      </c>
      <c r="AQ32" s="94">
        <v>0</v>
      </c>
      <c r="AR32" s="94">
        <v>0</v>
      </c>
      <c r="AS32" s="94">
        <v>0</v>
      </c>
      <c r="AT32" s="94">
        <v>0</v>
      </c>
      <c r="AU32" s="94">
        <v>0</v>
      </c>
      <c r="AV32" s="94">
        <v>0</v>
      </c>
      <c r="AW32" s="94">
        <v>0</v>
      </c>
      <c r="AX32" s="94">
        <v>0</v>
      </c>
      <c r="AY32" s="94">
        <v>0</v>
      </c>
      <c r="AZ32" s="94">
        <v>0</v>
      </c>
      <c r="BA32" s="94">
        <v>0</v>
      </c>
      <c r="BB32" s="94">
        <v>0</v>
      </c>
    </row>
    <row r="33" spans="1:54" x14ac:dyDescent="0.25">
      <c r="A33" s="96">
        <f t="shared" si="0"/>
        <v>29</v>
      </c>
      <c r="B33" s="95" t="s">
        <v>450</v>
      </c>
      <c r="C33" s="94">
        <v>0</v>
      </c>
      <c r="D33" s="94">
        <v>0</v>
      </c>
      <c r="E33" s="94">
        <v>0</v>
      </c>
      <c r="F33" s="94">
        <v>0</v>
      </c>
      <c r="G33" s="94">
        <v>0</v>
      </c>
      <c r="H33" s="94">
        <v>0</v>
      </c>
      <c r="I33" s="94">
        <v>0</v>
      </c>
      <c r="J33" s="94">
        <v>0</v>
      </c>
      <c r="K33" s="94">
        <v>0</v>
      </c>
      <c r="L33" s="94">
        <v>0</v>
      </c>
      <c r="M33" s="94">
        <v>0</v>
      </c>
      <c r="N33" s="94">
        <v>0</v>
      </c>
      <c r="O33" s="94">
        <v>0</v>
      </c>
      <c r="P33" s="94">
        <v>0.14624999999999999</v>
      </c>
      <c r="Q33" s="94">
        <v>0</v>
      </c>
      <c r="R33" s="94">
        <v>0</v>
      </c>
      <c r="S33" s="94">
        <v>0</v>
      </c>
      <c r="T33" s="94">
        <v>0</v>
      </c>
      <c r="U33" s="94">
        <v>6.9555555555555603E-3</v>
      </c>
      <c r="V33" s="94">
        <v>1.55555555555556E-3</v>
      </c>
      <c r="W33" s="94">
        <v>0</v>
      </c>
      <c r="X33" s="94">
        <v>0</v>
      </c>
      <c r="Y33" s="94">
        <v>0</v>
      </c>
      <c r="Z33" s="94">
        <v>5.4166666666666703E-3</v>
      </c>
      <c r="AA33" s="94">
        <v>0</v>
      </c>
      <c r="AB33" s="94">
        <v>0</v>
      </c>
      <c r="AC33" s="94">
        <v>0</v>
      </c>
      <c r="AD33" s="94">
        <v>0</v>
      </c>
      <c r="AE33" s="94">
        <v>0</v>
      </c>
      <c r="AF33" s="94">
        <v>0</v>
      </c>
      <c r="AG33" s="94">
        <v>0</v>
      </c>
      <c r="AH33" s="94">
        <v>0</v>
      </c>
      <c r="AI33" s="94">
        <v>0</v>
      </c>
      <c r="AJ33" s="94">
        <v>0</v>
      </c>
      <c r="AK33" s="94">
        <v>0</v>
      </c>
      <c r="AL33" s="94">
        <v>0</v>
      </c>
      <c r="AM33" s="94">
        <v>0</v>
      </c>
      <c r="AN33" s="94">
        <v>0</v>
      </c>
      <c r="AO33" s="94">
        <v>4.0000000000000001E-3</v>
      </c>
      <c r="AP33" s="94">
        <v>7.6649999999999996E-2</v>
      </c>
      <c r="AQ33" s="94">
        <v>0</v>
      </c>
      <c r="AR33" s="94">
        <v>0</v>
      </c>
      <c r="AS33" s="94">
        <v>0</v>
      </c>
      <c r="AT33" s="94">
        <v>0</v>
      </c>
      <c r="AU33" s="94">
        <v>0</v>
      </c>
      <c r="AV33" s="94">
        <v>1.4119547442315302E-2</v>
      </c>
      <c r="AW33" s="94">
        <v>1.06060606060606E-2</v>
      </c>
      <c r="AX33" s="94">
        <v>0.02</v>
      </c>
      <c r="AY33" s="94">
        <v>0</v>
      </c>
      <c r="AZ33" s="94">
        <v>0</v>
      </c>
      <c r="BA33" s="94">
        <v>0</v>
      </c>
      <c r="BB33" s="94">
        <v>0</v>
      </c>
    </row>
    <row r="34" spans="1:54" x14ac:dyDescent="0.25">
      <c r="A34" s="96">
        <f t="shared" si="0"/>
        <v>30</v>
      </c>
      <c r="B34" s="95" t="s">
        <v>453</v>
      </c>
      <c r="C34" s="94">
        <v>0</v>
      </c>
      <c r="D34" s="94">
        <v>0</v>
      </c>
      <c r="E34" s="94">
        <v>0</v>
      </c>
      <c r="F34" s="94">
        <v>0</v>
      </c>
      <c r="G34" s="94">
        <v>0</v>
      </c>
      <c r="H34" s="94">
        <v>0</v>
      </c>
      <c r="I34" s="94">
        <v>0</v>
      </c>
      <c r="J34" s="94">
        <v>0</v>
      </c>
      <c r="K34" s="94">
        <v>0</v>
      </c>
      <c r="L34" s="94">
        <v>0</v>
      </c>
      <c r="M34" s="94">
        <v>0</v>
      </c>
      <c r="N34" s="94">
        <v>0</v>
      </c>
      <c r="O34" s="94">
        <v>0</v>
      </c>
      <c r="P34" s="94">
        <v>0</v>
      </c>
      <c r="Q34" s="94">
        <v>0</v>
      </c>
      <c r="R34" s="94">
        <v>0</v>
      </c>
      <c r="S34" s="94">
        <v>0</v>
      </c>
      <c r="T34" s="94">
        <v>0</v>
      </c>
      <c r="U34" s="94">
        <v>0</v>
      </c>
      <c r="V34" s="94">
        <v>0</v>
      </c>
      <c r="W34" s="94">
        <v>0</v>
      </c>
      <c r="X34" s="94">
        <v>0</v>
      </c>
      <c r="Y34" s="94">
        <v>0</v>
      </c>
      <c r="Z34" s="94">
        <v>0</v>
      </c>
      <c r="AA34" s="94">
        <v>0</v>
      </c>
      <c r="AB34" s="94">
        <v>0</v>
      </c>
      <c r="AC34" s="94">
        <v>0</v>
      </c>
      <c r="AD34" s="94">
        <v>0</v>
      </c>
      <c r="AE34" s="94">
        <v>0</v>
      </c>
      <c r="AF34" s="94">
        <v>0</v>
      </c>
      <c r="AG34" s="94">
        <v>0</v>
      </c>
      <c r="AH34" s="94">
        <v>0</v>
      </c>
      <c r="AI34" s="94">
        <v>0</v>
      </c>
      <c r="AJ34" s="94">
        <v>0</v>
      </c>
      <c r="AK34" s="94">
        <v>0</v>
      </c>
      <c r="AL34" s="94">
        <v>0</v>
      </c>
      <c r="AM34" s="94">
        <v>0</v>
      </c>
      <c r="AN34" s="94">
        <v>0</v>
      </c>
      <c r="AO34" s="94">
        <v>5.6000000000000001E-2</v>
      </c>
      <c r="AP34" s="94">
        <v>0</v>
      </c>
      <c r="AQ34" s="94">
        <v>0</v>
      </c>
      <c r="AR34" s="94">
        <v>0</v>
      </c>
      <c r="AS34" s="94">
        <v>0</v>
      </c>
      <c r="AT34" s="94">
        <v>0</v>
      </c>
      <c r="AU34" s="94">
        <v>0</v>
      </c>
      <c r="AV34" s="94">
        <v>7.3717272727272989E-3</v>
      </c>
      <c r="AW34" s="94">
        <v>1.06060606060606E-2</v>
      </c>
      <c r="AX34" s="94">
        <v>0.02</v>
      </c>
      <c r="AY34" s="94">
        <v>0</v>
      </c>
      <c r="AZ34" s="94">
        <v>0</v>
      </c>
      <c r="BA34" s="94">
        <v>0</v>
      </c>
      <c r="BB34" s="94">
        <v>0</v>
      </c>
    </row>
    <row r="35" spans="1:54" x14ac:dyDescent="0.25">
      <c r="A35" s="96">
        <f t="shared" si="0"/>
        <v>31</v>
      </c>
      <c r="B35" s="95" t="s">
        <v>732</v>
      </c>
      <c r="C35" s="94">
        <v>0</v>
      </c>
      <c r="D35" s="94">
        <v>0</v>
      </c>
      <c r="E35" s="94">
        <v>0</v>
      </c>
      <c r="F35" s="94">
        <v>0</v>
      </c>
      <c r="G35" s="94">
        <v>0</v>
      </c>
      <c r="H35" s="94">
        <v>0</v>
      </c>
      <c r="I35" s="94">
        <v>0</v>
      </c>
      <c r="J35" s="94">
        <v>0</v>
      </c>
      <c r="K35" s="94">
        <v>0</v>
      </c>
      <c r="L35" s="94">
        <v>0</v>
      </c>
      <c r="M35" s="94">
        <v>0</v>
      </c>
      <c r="N35" s="94">
        <v>1.1299999999999999E-2</v>
      </c>
      <c r="O35" s="94">
        <v>2.1755555555555556E-2</v>
      </c>
      <c r="P35" s="94">
        <v>2.1500000000000002E-2</v>
      </c>
      <c r="Q35" s="94">
        <v>0</v>
      </c>
      <c r="R35" s="94">
        <v>0</v>
      </c>
      <c r="S35" s="94">
        <v>0</v>
      </c>
      <c r="T35" s="94">
        <v>0</v>
      </c>
      <c r="U35" s="94">
        <v>0.14738888888888901</v>
      </c>
      <c r="V35" s="94">
        <v>5.0000000000000001E-4</v>
      </c>
      <c r="W35" s="94">
        <v>3.5999999999999997E-2</v>
      </c>
      <c r="X35" s="94">
        <v>0</v>
      </c>
      <c r="Y35" s="94">
        <v>0</v>
      </c>
      <c r="Z35" s="94">
        <v>0.37258333333333299</v>
      </c>
      <c r="AA35" s="94">
        <v>0.18165652442795349</v>
      </c>
      <c r="AB35" s="94">
        <v>6.0342857142857101E-2</v>
      </c>
      <c r="AC35" s="94">
        <v>0</v>
      </c>
      <c r="AD35" s="94">
        <v>0</v>
      </c>
      <c r="AE35" s="94">
        <v>1.5030306666666699E-2</v>
      </c>
      <c r="AF35" s="94">
        <v>0.25015721288515436</v>
      </c>
      <c r="AG35" s="94">
        <v>0</v>
      </c>
      <c r="AH35" s="94">
        <v>0</v>
      </c>
      <c r="AI35" s="94">
        <v>0.20758333333333334</v>
      </c>
      <c r="AJ35" s="94">
        <v>0</v>
      </c>
      <c r="AK35" s="94">
        <v>0</v>
      </c>
      <c r="AL35" s="94">
        <v>0</v>
      </c>
      <c r="AM35" s="94">
        <v>0</v>
      </c>
      <c r="AN35" s="94">
        <v>0</v>
      </c>
      <c r="AO35" s="94">
        <v>5.2999999999999999E-2</v>
      </c>
      <c r="AP35" s="94">
        <v>0.21729999999999999</v>
      </c>
      <c r="AQ35" s="94">
        <v>5.5789999999999999E-2</v>
      </c>
      <c r="AR35" s="94">
        <v>0</v>
      </c>
      <c r="AS35" s="94">
        <v>4.2408294648693802E-5</v>
      </c>
      <c r="AT35" s="94">
        <v>0</v>
      </c>
      <c r="AU35" s="94">
        <v>0</v>
      </c>
      <c r="AV35" s="94">
        <v>1.9559460288112899E-2</v>
      </c>
      <c r="AW35" s="94">
        <v>1.6666666666666701E-2</v>
      </c>
      <c r="AX35" s="94">
        <v>0.2</v>
      </c>
      <c r="AY35" s="94">
        <v>0</v>
      </c>
      <c r="AZ35" s="94">
        <v>0</v>
      </c>
      <c r="BA35" s="94">
        <v>0</v>
      </c>
      <c r="BB35" s="94">
        <v>0</v>
      </c>
    </row>
    <row r="36" spans="1:54" x14ac:dyDescent="0.25">
      <c r="A36" s="96">
        <f t="shared" si="0"/>
        <v>32</v>
      </c>
      <c r="B36" s="95" t="s">
        <v>733</v>
      </c>
      <c r="C36" s="94">
        <v>0</v>
      </c>
      <c r="D36" s="94">
        <v>0</v>
      </c>
      <c r="E36" s="94">
        <v>0</v>
      </c>
      <c r="F36" s="94">
        <v>0</v>
      </c>
      <c r="G36" s="94">
        <v>0</v>
      </c>
      <c r="H36" s="94">
        <v>0</v>
      </c>
      <c r="I36" s="94">
        <v>0</v>
      </c>
      <c r="J36" s="94">
        <v>0</v>
      </c>
      <c r="K36" s="94">
        <v>0</v>
      </c>
      <c r="L36" s="94">
        <v>0</v>
      </c>
      <c r="M36" s="94">
        <v>0</v>
      </c>
      <c r="N36" s="94">
        <v>0</v>
      </c>
      <c r="O36" s="94">
        <v>0</v>
      </c>
      <c r="P36" s="94">
        <v>0</v>
      </c>
      <c r="Q36" s="94">
        <v>0</v>
      </c>
      <c r="R36" s="94">
        <v>0</v>
      </c>
      <c r="S36" s="94">
        <v>0</v>
      </c>
      <c r="T36" s="94">
        <v>0</v>
      </c>
      <c r="U36" s="94">
        <v>0</v>
      </c>
      <c r="V36" s="94">
        <v>0</v>
      </c>
      <c r="W36" s="94">
        <v>0</v>
      </c>
      <c r="X36" s="94">
        <v>0</v>
      </c>
      <c r="Y36" s="94">
        <v>0</v>
      </c>
      <c r="Z36" s="94">
        <v>0.37258333333333299</v>
      </c>
      <c r="AA36" s="94">
        <v>6.9227153798582408E-2</v>
      </c>
      <c r="AB36" s="94">
        <v>5.3885714285714301E-2</v>
      </c>
      <c r="AC36" s="94">
        <v>0</v>
      </c>
      <c r="AD36" s="94">
        <v>0</v>
      </c>
      <c r="AE36" s="94">
        <v>0</v>
      </c>
      <c r="AF36" s="94">
        <v>3.9918977591036457E-2</v>
      </c>
      <c r="AG36" s="94">
        <v>0</v>
      </c>
      <c r="AH36" s="94">
        <v>0</v>
      </c>
      <c r="AI36" s="94">
        <v>0</v>
      </c>
      <c r="AJ36" s="94">
        <v>0</v>
      </c>
      <c r="AK36" s="94">
        <v>0</v>
      </c>
      <c r="AL36" s="94">
        <v>0</v>
      </c>
      <c r="AM36" s="94">
        <v>0</v>
      </c>
      <c r="AN36" s="94">
        <v>0</v>
      </c>
      <c r="AO36" s="94">
        <v>0.01</v>
      </c>
      <c r="AP36" s="94">
        <v>9.4899999999999998E-2</v>
      </c>
      <c r="AQ36" s="94">
        <v>0</v>
      </c>
      <c r="AR36" s="94">
        <v>0</v>
      </c>
      <c r="AS36" s="94">
        <v>0</v>
      </c>
      <c r="AT36" s="94">
        <v>0</v>
      </c>
      <c r="AU36" s="94">
        <v>0</v>
      </c>
      <c r="AV36" s="94">
        <v>7.7507674917362025E-3</v>
      </c>
      <c r="AW36" s="94">
        <v>1.06060606060606E-2</v>
      </c>
      <c r="AX36" s="94">
        <v>0.02</v>
      </c>
      <c r="AY36" s="94">
        <v>0</v>
      </c>
      <c r="AZ36" s="94">
        <v>0</v>
      </c>
      <c r="BA36" s="94">
        <v>0</v>
      </c>
      <c r="BB36" s="94">
        <v>0</v>
      </c>
    </row>
    <row r="37" spans="1:54" x14ac:dyDescent="0.25">
      <c r="A37" s="96">
        <f t="shared" si="0"/>
        <v>33</v>
      </c>
      <c r="B37" s="95" t="s">
        <v>734</v>
      </c>
      <c r="C37" s="94">
        <v>0</v>
      </c>
      <c r="D37" s="94">
        <v>0</v>
      </c>
      <c r="E37" s="94">
        <v>0</v>
      </c>
      <c r="F37" s="94">
        <v>0</v>
      </c>
      <c r="G37" s="94">
        <v>0</v>
      </c>
      <c r="H37" s="94">
        <v>0</v>
      </c>
      <c r="I37" s="94">
        <v>3.3333333333333298E-2</v>
      </c>
      <c r="J37" s="94">
        <v>0</v>
      </c>
      <c r="K37" s="94">
        <v>0</v>
      </c>
      <c r="L37" s="94">
        <v>0</v>
      </c>
      <c r="M37" s="94">
        <v>0</v>
      </c>
      <c r="N37" s="94">
        <v>0</v>
      </c>
      <c r="O37" s="94">
        <v>0</v>
      </c>
      <c r="P37" s="94">
        <v>0.47715000000000002</v>
      </c>
      <c r="Q37" s="94">
        <v>0</v>
      </c>
      <c r="R37" s="94">
        <v>0</v>
      </c>
      <c r="S37" s="94">
        <v>0</v>
      </c>
      <c r="T37" s="94">
        <v>0.57325000000000004</v>
      </c>
      <c r="U37" s="94">
        <v>0.135066666666667</v>
      </c>
      <c r="V37" s="94">
        <v>0.1431</v>
      </c>
      <c r="W37" s="94">
        <v>0</v>
      </c>
      <c r="X37" s="94">
        <v>0.32800000000000001</v>
      </c>
      <c r="Y37" s="94">
        <v>0</v>
      </c>
      <c r="Z37" s="94">
        <v>7.0183333333333306E-2</v>
      </c>
      <c r="AA37" s="94">
        <v>9.6740940012368618E-2</v>
      </c>
      <c r="AB37" s="94">
        <v>1.08571428571429E-2</v>
      </c>
      <c r="AC37" s="94">
        <v>7.4999999999999997E-2</v>
      </c>
      <c r="AD37" s="94">
        <v>0.63644999999999996</v>
      </c>
      <c r="AE37" s="94">
        <v>0</v>
      </c>
      <c r="AF37" s="94">
        <v>2.2607212885154056E-2</v>
      </c>
      <c r="AG37" s="94">
        <v>9.5999617099566753E-2</v>
      </c>
      <c r="AH37" s="94">
        <v>0.33333000000000002</v>
      </c>
      <c r="AI37" s="94">
        <v>0</v>
      </c>
      <c r="AJ37" s="94">
        <v>0.19400000000000001</v>
      </c>
      <c r="AK37" s="94">
        <v>0</v>
      </c>
      <c r="AL37" s="94">
        <v>0</v>
      </c>
      <c r="AM37" s="94">
        <v>0</v>
      </c>
      <c r="AN37" s="94">
        <v>3.7777777777777778E-2</v>
      </c>
      <c r="AO37" s="94">
        <v>0.5</v>
      </c>
      <c r="AP37" s="94">
        <v>0.1007</v>
      </c>
      <c r="AQ37" s="94">
        <v>0.189</v>
      </c>
      <c r="AR37" s="94">
        <v>0</v>
      </c>
      <c r="AS37" s="94">
        <v>4.8925000000000003E-2</v>
      </c>
      <c r="AT37" s="94">
        <v>0.03</v>
      </c>
      <c r="AU37" s="94">
        <v>0</v>
      </c>
      <c r="AV37" s="94">
        <v>0.101641210728279</v>
      </c>
      <c r="AW37" s="94">
        <v>1.06060606060606E-2</v>
      </c>
      <c r="AX37" s="94">
        <v>0.02</v>
      </c>
      <c r="AY37" s="94">
        <v>0</v>
      </c>
      <c r="AZ37" s="94">
        <v>0</v>
      </c>
      <c r="BA37" s="94">
        <v>0</v>
      </c>
      <c r="BB37" s="94">
        <v>0</v>
      </c>
    </row>
    <row r="38" spans="1:54" x14ac:dyDescent="0.25">
      <c r="A38" s="96">
        <f t="shared" si="0"/>
        <v>34</v>
      </c>
      <c r="B38" s="95" t="s">
        <v>735</v>
      </c>
      <c r="C38" s="94">
        <v>0</v>
      </c>
      <c r="D38" s="94">
        <v>0</v>
      </c>
      <c r="E38" s="94">
        <v>0</v>
      </c>
      <c r="F38" s="94">
        <v>0</v>
      </c>
      <c r="G38" s="94">
        <v>0</v>
      </c>
      <c r="H38" s="94">
        <v>0</v>
      </c>
      <c r="I38" s="94">
        <v>0</v>
      </c>
      <c r="J38" s="94">
        <v>0</v>
      </c>
      <c r="K38" s="94">
        <v>0</v>
      </c>
      <c r="L38" s="94">
        <v>0</v>
      </c>
      <c r="M38" s="94">
        <v>0</v>
      </c>
      <c r="N38" s="94">
        <v>0</v>
      </c>
      <c r="O38" s="94">
        <v>0</v>
      </c>
      <c r="P38" s="94">
        <v>7.0874999999999994E-2</v>
      </c>
      <c r="Q38" s="94">
        <v>0</v>
      </c>
      <c r="R38" s="94">
        <v>0</v>
      </c>
      <c r="S38" s="94">
        <v>0</v>
      </c>
      <c r="T38" s="94">
        <v>0</v>
      </c>
      <c r="U38" s="94">
        <v>0</v>
      </c>
      <c r="V38" s="94">
        <v>3.4444444444444401E-3</v>
      </c>
      <c r="W38" s="94">
        <v>0</v>
      </c>
      <c r="X38" s="94">
        <v>0</v>
      </c>
      <c r="Y38" s="94">
        <v>0</v>
      </c>
      <c r="Z38" s="94">
        <v>0</v>
      </c>
      <c r="AA38" s="94">
        <v>0</v>
      </c>
      <c r="AB38" s="94">
        <v>4.2857142857142898E-4</v>
      </c>
      <c r="AC38" s="94">
        <v>0</v>
      </c>
      <c r="AD38" s="94">
        <v>0</v>
      </c>
      <c r="AE38" s="94">
        <v>0</v>
      </c>
      <c r="AF38" s="94">
        <v>3.5778011204481569E-3</v>
      </c>
      <c r="AG38" s="94">
        <v>0</v>
      </c>
      <c r="AH38" s="94">
        <v>0</v>
      </c>
      <c r="AI38" s="99">
        <v>0</v>
      </c>
      <c r="AJ38" s="94">
        <v>0</v>
      </c>
      <c r="AK38" s="94">
        <v>0</v>
      </c>
      <c r="AL38" s="94">
        <v>0</v>
      </c>
      <c r="AM38" s="94">
        <v>0</v>
      </c>
      <c r="AN38" s="94">
        <v>0</v>
      </c>
      <c r="AO38" s="94">
        <v>0</v>
      </c>
      <c r="AP38" s="94">
        <v>0</v>
      </c>
      <c r="AQ38" s="94">
        <v>0</v>
      </c>
      <c r="AR38" s="94">
        <v>0</v>
      </c>
      <c r="AS38" s="94">
        <v>0</v>
      </c>
      <c r="AT38" s="94">
        <v>0</v>
      </c>
      <c r="AU38" s="94">
        <v>0</v>
      </c>
      <c r="AV38" s="94">
        <v>0</v>
      </c>
      <c r="AW38" s="94">
        <v>0</v>
      </c>
      <c r="AX38" s="94">
        <v>0</v>
      </c>
      <c r="AY38" s="94">
        <v>0</v>
      </c>
      <c r="AZ38" s="94">
        <v>0</v>
      </c>
      <c r="BA38" s="94">
        <v>0</v>
      </c>
      <c r="BB38" s="94">
        <v>0</v>
      </c>
    </row>
    <row r="39" spans="1:54" x14ac:dyDescent="0.25">
      <c r="A39" s="96">
        <f t="shared" si="0"/>
        <v>35</v>
      </c>
      <c r="B39" s="95" t="s">
        <v>736</v>
      </c>
      <c r="C39" s="94">
        <v>0</v>
      </c>
      <c r="D39" s="94">
        <v>0</v>
      </c>
      <c r="E39" s="94">
        <v>0</v>
      </c>
      <c r="F39" s="94">
        <v>0</v>
      </c>
      <c r="G39" s="94">
        <v>0</v>
      </c>
      <c r="H39" s="94">
        <v>0</v>
      </c>
      <c r="I39" s="94">
        <v>1.6666666666666701E-2</v>
      </c>
      <c r="J39" s="94">
        <v>0</v>
      </c>
      <c r="K39" s="94">
        <v>0</v>
      </c>
      <c r="L39" s="94">
        <v>0</v>
      </c>
      <c r="M39" s="94">
        <v>0</v>
      </c>
      <c r="N39" s="94">
        <v>0</v>
      </c>
      <c r="O39" s="94">
        <v>0</v>
      </c>
      <c r="P39" s="94">
        <v>0</v>
      </c>
      <c r="Q39" s="94">
        <v>0</v>
      </c>
      <c r="R39" s="94">
        <v>0</v>
      </c>
      <c r="S39" s="94">
        <v>0</v>
      </c>
      <c r="T39" s="94">
        <v>0</v>
      </c>
      <c r="U39" s="94">
        <v>3.5866666666666699E-2</v>
      </c>
      <c r="V39" s="94">
        <v>1.77777777777778E-3</v>
      </c>
      <c r="W39" s="94">
        <v>0</v>
      </c>
      <c r="X39" s="94">
        <v>0</v>
      </c>
      <c r="Y39" s="94">
        <v>0</v>
      </c>
      <c r="Z39" s="94">
        <v>4.7E-2</v>
      </c>
      <c r="AA39" s="94">
        <v>6.1322758194186811E-2</v>
      </c>
      <c r="AB39" s="94">
        <v>2.0714285714285699E-2</v>
      </c>
      <c r="AC39" s="94">
        <v>2.9999999999999997E-4</v>
      </c>
      <c r="AD39" s="94">
        <v>0</v>
      </c>
      <c r="AE39" s="94">
        <v>0</v>
      </c>
      <c r="AF39" s="94">
        <v>6.3554271708683455E-2</v>
      </c>
      <c r="AG39" s="94">
        <v>3.7372294372294348E-3</v>
      </c>
      <c r="AH39" s="94">
        <v>0</v>
      </c>
      <c r="AI39" s="94">
        <v>0.10358333333333332</v>
      </c>
      <c r="AJ39" s="94">
        <v>0</v>
      </c>
      <c r="AK39" s="94">
        <v>0</v>
      </c>
      <c r="AL39" s="94">
        <v>0</v>
      </c>
      <c r="AM39" s="94">
        <v>0</v>
      </c>
      <c r="AN39" s="94">
        <v>0</v>
      </c>
      <c r="AO39" s="94">
        <v>0</v>
      </c>
      <c r="AP39" s="94">
        <v>1.355E-2</v>
      </c>
      <c r="AQ39" s="94">
        <v>0</v>
      </c>
      <c r="AR39" s="94">
        <v>0</v>
      </c>
      <c r="AS39" s="94">
        <v>0.16971696083542301</v>
      </c>
      <c r="AT39" s="94">
        <v>0</v>
      </c>
      <c r="AU39" s="94">
        <v>0</v>
      </c>
      <c r="AV39" s="94">
        <v>0.3953991</v>
      </c>
      <c r="AW39" s="94">
        <v>0.75555555555555598</v>
      </c>
      <c r="AX39" s="94">
        <v>0</v>
      </c>
      <c r="AY39" s="94">
        <v>0</v>
      </c>
      <c r="AZ39" s="94">
        <v>0</v>
      </c>
      <c r="BA39" s="94">
        <v>0</v>
      </c>
      <c r="BB39" s="94">
        <v>0</v>
      </c>
    </row>
    <row r="40" spans="1:54" x14ac:dyDescent="0.25">
      <c r="A40" s="96">
        <f t="shared" si="0"/>
        <v>36</v>
      </c>
      <c r="B40" s="95" t="s">
        <v>467</v>
      </c>
      <c r="C40" s="94">
        <v>0</v>
      </c>
      <c r="D40" s="94">
        <v>0</v>
      </c>
      <c r="E40" s="94">
        <v>0</v>
      </c>
      <c r="F40" s="94">
        <v>0</v>
      </c>
      <c r="G40" s="94">
        <v>0</v>
      </c>
      <c r="H40" s="94">
        <v>0</v>
      </c>
      <c r="I40" s="94">
        <v>0</v>
      </c>
      <c r="J40" s="94">
        <v>0</v>
      </c>
      <c r="K40" s="94">
        <v>0</v>
      </c>
      <c r="L40" s="94">
        <v>0</v>
      </c>
      <c r="M40" s="94">
        <v>0</v>
      </c>
      <c r="N40" s="94">
        <v>0</v>
      </c>
      <c r="O40" s="94">
        <v>0</v>
      </c>
      <c r="P40" s="94">
        <v>0</v>
      </c>
      <c r="Q40" s="94">
        <v>0</v>
      </c>
      <c r="R40" s="94">
        <v>0</v>
      </c>
      <c r="S40" s="94">
        <v>0</v>
      </c>
      <c r="T40" s="94">
        <v>0</v>
      </c>
      <c r="U40" s="94">
        <v>3.4444444444444399E-4</v>
      </c>
      <c r="V40" s="94">
        <v>0</v>
      </c>
      <c r="W40" s="94">
        <v>0</v>
      </c>
      <c r="X40" s="94">
        <v>0</v>
      </c>
      <c r="Y40" s="94">
        <v>0</v>
      </c>
      <c r="Z40" s="94">
        <v>0</v>
      </c>
      <c r="AA40" s="94">
        <v>0</v>
      </c>
      <c r="AB40" s="94">
        <v>0</v>
      </c>
      <c r="AC40" s="94">
        <v>0</v>
      </c>
      <c r="AD40" s="94">
        <v>0</v>
      </c>
      <c r="AE40" s="94">
        <v>0</v>
      </c>
      <c r="AF40" s="94">
        <v>0</v>
      </c>
      <c r="AG40" s="94">
        <v>5.0456709956710009E-3</v>
      </c>
      <c r="AH40" s="94">
        <v>0</v>
      </c>
      <c r="AI40" s="94">
        <v>0</v>
      </c>
      <c r="AJ40" s="94">
        <v>0</v>
      </c>
      <c r="AK40" s="94">
        <v>0</v>
      </c>
      <c r="AL40" s="94">
        <v>0</v>
      </c>
      <c r="AM40" s="94">
        <v>0</v>
      </c>
      <c r="AN40" s="94">
        <v>0</v>
      </c>
      <c r="AO40" s="94">
        <v>0</v>
      </c>
      <c r="AP40" s="94">
        <v>0</v>
      </c>
      <c r="AQ40" s="94">
        <v>0</v>
      </c>
      <c r="AR40" s="94">
        <v>0</v>
      </c>
      <c r="AS40" s="94">
        <v>4.9437500000000002E-2</v>
      </c>
      <c r="AT40" s="94">
        <v>0.245</v>
      </c>
      <c r="AU40" s="94">
        <v>0</v>
      </c>
      <c r="AV40" s="94">
        <v>0</v>
      </c>
      <c r="AW40" s="94">
        <v>0</v>
      </c>
      <c r="AX40" s="94">
        <v>0</v>
      </c>
      <c r="AY40" s="94">
        <v>0</v>
      </c>
      <c r="AZ40" s="94">
        <v>0</v>
      </c>
      <c r="BA40" s="94">
        <v>0</v>
      </c>
      <c r="BB40" s="94">
        <v>0</v>
      </c>
    </row>
    <row r="41" spans="1:54" x14ac:dyDescent="0.25">
      <c r="A41" s="96">
        <f t="shared" si="0"/>
        <v>37</v>
      </c>
      <c r="B41" s="95" t="s">
        <v>469</v>
      </c>
      <c r="C41" s="94">
        <v>0</v>
      </c>
      <c r="D41" s="94">
        <v>0</v>
      </c>
      <c r="E41" s="94">
        <v>0</v>
      </c>
      <c r="F41" s="94">
        <v>0</v>
      </c>
      <c r="G41" s="94">
        <v>0</v>
      </c>
      <c r="H41" s="94">
        <v>0</v>
      </c>
      <c r="I41" s="94">
        <v>0</v>
      </c>
      <c r="J41" s="94">
        <v>0</v>
      </c>
      <c r="K41" s="94">
        <v>0</v>
      </c>
      <c r="L41" s="94">
        <v>0</v>
      </c>
      <c r="M41" s="94">
        <v>0</v>
      </c>
      <c r="N41" s="94">
        <v>0</v>
      </c>
      <c r="O41" s="94">
        <v>0</v>
      </c>
      <c r="P41" s="94">
        <v>0</v>
      </c>
      <c r="Q41" s="94">
        <v>6.4000000000000005E-4</v>
      </c>
      <c r="R41" s="94">
        <v>0</v>
      </c>
      <c r="S41" s="94">
        <v>0</v>
      </c>
      <c r="T41" s="94">
        <v>0</v>
      </c>
      <c r="U41" s="94">
        <v>7.6777777777777799E-3</v>
      </c>
      <c r="V41" s="94">
        <v>1.6666666666666701E-4</v>
      </c>
      <c r="W41" s="94">
        <v>6.9900000000000004E-2</v>
      </c>
      <c r="X41" s="94">
        <v>0</v>
      </c>
      <c r="Y41" s="94">
        <v>0</v>
      </c>
      <c r="Z41" s="94">
        <v>5.0000000000000001E-4</v>
      </c>
      <c r="AA41" s="94">
        <v>9.3500309214594908E-3</v>
      </c>
      <c r="AB41" s="94">
        <v>9.8571428571428595E-3</v>
      </c>
      <c r="AC41" s="94">
        <v>3.57142857142857E-3</v>
      </c>
      <c r="AD41" s="94">
        <v>0.32090000000000002</v>
      </c>
      <c r="AE41" s="94">
        <v>0</v>
      </c>
      <c r="AF41" s="94">
        <v>9.1425070028011216E-3</v>
      </c>
      <c r="AG41" s="94">
        <v>7.2502164502164512E-3</v>
      </c>
      <c r="AH41" s="94">
        <v>0</v>
      </c>
      <c r="AI41" s="94">
        <v>0</v>
      </c>
      <c r="AJ41" s="94">
        <v>0.39</v>
      </c>
      <c r="AK41" s="94">
        <v>0</v>
      </c>
      <c r="AL41" s="94">
        <v>0</v>
      </c>
      <c r="AM41" s="94">
        <v>0</v>
      </c>
      <c r="AN41" s="94">
        <v>0</v>
      </c>
      <c r="AO41" s="94">
        <v>0</v>
      </c>
      <c r="AP41" s="94">
        <v>0</v>
      </c>
      <c r="AQ41" s="94">
        <v>0</v>
      </c>
      <c r="AR41" s="94">
        <v>0</v>
      </c>
      <c r="AS41" s="94">
        <v>0</v>
      </c>
      <c r="AT41" s="94">
        <v>0</v>
      </c>
      <c r="AU41" s="94">
        <v>0</v>
      </c>
      <c r="AV41" s="94">
        <v>0</v>
      </c>
      <c r="AW41" s="94">
        <v>0</v>
      </c>
      <c r="AX41" s="94">
        <v>0</v>
      </c>
      <c r="AY41" s="94">
        <v>0</v>
      </c>
      <c r="AZ41" s="94">
        <v>0</v>
      </c>
      <c r="BA41" s="94">
        <v>0</v>
      </c>
      <c r="BB41" s="94">
        <v>0</v>
      </c>
    </row>
    <row r="42" spans="1:54" x14ac:dyDescent="0.25">
      <c r="A42" s="96">
        <f t="shared" si="0"/>
        <v>38</v>
      </c>
      <c r="B42" s="95" t="s">
        <v>470</v>
      </c>
      <c r="C42" s="94">
        <v>0</v>
      </c>
      <c r="D42" s="94">
        <v>0</v>
      </c>
      <c r="E42" s="94">
        <v>0</v>
      </c>
      <c r="F42" s="94">
        <v>0</v>
      </c>
      <c r="G42" s="94">
        <v>0</v>
      </c>
      <c r="H42" s="94">
        <v>0</v>
      </c>
      <c r="I42" s="94">
        <v>0.116666666666667</v>
      </c>
      <c r="J42" s="94">
        <v>0</v>
      </c>
      <c r="K42" s="94">
        <v>0</v>
      </c>
      <c r="L42" s="94">
        <v>0</v>
      </c>
      <c r="M42" s="94">
        <v>1.96666666666667E-2</v>
      </c>
      <c r="N42" s="94">
        <v>0</v>
      </c>
      <c r="O42" s="94">
        <v>2.7755555555555554E-2</v>
      </c>
      <c r="P42" s="94">
        <v>0</v>
      </c>
      <c r="Q42" s="94">
        <v>1.94688888888889E-2</v>
      </c>
      <c r="R42" s="94">
        <v>0</v>
      </c>
      <c r="S42" s="94">
        <v>0</v>
      </c>
      <c r="T42" s="94">
        <v>4.2500000000000003E-3</v>
      </c>
      <c r="U42" s="94">
        <v>3.3277777777777802E-2</v>
      </c>
      <c r="V42" s="94">
        <v>4.7588888888888903E-2</v>
      </c>
      <c r="W42" s="94">
        <v>2.7666666666666699E-3</v>
      </c>
      <c r="X42" s="94">
        <v>3.9579999999999997E-2</v>
      </c>
      <c r="Y42" s="94">
        <v>0</v>
      </c>
      <c r="Z42" s="94">
        <v>0</v>
      </c>
      <c r="AA42" s="94">
        <v>8.3500309214594934E-3</v>
      </c>
      <c r="AB42" s="94">
        <v>1.53714285714286E-2</v>
      </c>
      <c r="AC42" s="94">
        <v>0.13614285714285709</v>
      </c>
      <c r="AD42" s="94">
        <v>0</v>
      </c>
      <c r="AE42" s="94">
        <v>1.8080844444444439E-3</v>
      </c>
      <c r="AF42" s="94">
        <v>9.2601540616246512E-3</v>
      </c>
      <c r="AG42" s="94">
        <v>0.13150526645021648</v>
      </c>
      <c r="AH42" s="94">
        <v>0</v>
      </c>
      <c r="AI42" s="94">
        <v>5.2956333333333341E-2</v>
      </c>
      <c r="AJ42" s="94">
        <v>8.5666666666666696E-2</v>
      </c>
      <c r="AK42" s="94">
        <v>0</v>
      </c>
      <c r="AL42" s="94">
        <v>0.125</v>
      </c>
      <c r="AM42" s="94">
        <v>0</v>
      </c>
      <c r="AN42" s="94">
        <v>6.2277777777777779E-2</v>
      </c>
      <c r="AO42" s="94">
        <v>0</v>
      </c>
      <c r="AP42" s="94">
        <v>0</v>
      </c>
      <c r="AQ42" s="94">
        <v>0</v>
      </c>
      <c r="AR42" s="94">
        <v>0</v>
      </c>
      <c r="AS42" s="94">
        <v>3.1250000000000001E-4</v>
      </c>
      <c r="AT42" s="94">
        <v>0</v>
      </c>
      <c r="AU42" s="94">
        <v>0</v>
      </c>
      <c r="AV42" s="94">
        <v>0</v>
      </c>
      <c r="AW42" s="94">
        <v>0</v>
      </c>
      <c r="AX42" s="94">
        <v>0</v>
      </c>
      <c r="AY42" s="94">
        <v>0</v>
      </c>
      <c r="AZ42" s="94">
        <v>0</v>
      </c>
      <c r="BA42" s="94">
        <v>0</v>
      </c>
      <c r="BB42" s="94">
        <v>0</v>
      </c>
    </row>
    <row r="43" spans="1:54" x14ac:dyDescent="0.25">
      <c r="A43" s="96">
        <f t="shared" si="0"/>
        <v>39</v>
      </c>
      <c r="B43" s="95" t="s">
        <v>471</v>
      </c>
      <c r="C43" s="94">
        <v>0</v>
      </c>
      <c r="D43" s="94">
        <v>0</v>
      </c>
      <c r="E43" s="94">
        <v>0</v>
      </c>
      <c r="F43" s="94">
        <v>0</v>
      </c>
      <c r="G43" s="94">
        <v>0</v>
      </c>
      <c r="H43" s="94">
        <v>0</v>
      </c>
      <c r="I43" s="94">
        <v>0</v>
      </c>
      <c r="J43" s="94">
        <v>0</v>
      </c>
      <c r="K43" s="94">
        <v>0</v>
      </c>
      <c r="L43" s="94">
        <v>0</v>
      </c>
      <c r="M43" s="94">
        <v>9.5333333333333294E-3</v>
      </c>
      <c r="N43" s="94">
        <v>0</v>
      </c>
      <c r="O43" s="94">
        <v>0</v>
      </c>
      <c r="P43" s="94">
        <v>0</v>
      </c>
      <c r="Q43" s="94">
        <v>4.79E-3</v>
      </c>
      <c r="R43" s="94">
        <v>0</v>
      </c>
      <c r="S43" s="94">
        <v>0</v>
      </c>
      <c r="T43" s="94">
        <v>0</v>
      </c>
      <c r="U43" s="94">
        <v>0</v>
      </c>
      <c r="V43" s="94">
        <v>0.12855555555555601</v>
      </c>
      <c r="W43" s="94">
        <v>0</v>
      </c>
      <c r="X43" s="94">
        <v>0</v>
      </c>
      <c r="Y43" s="94">
        <v>0.13450000000000001</v>
      </c>
      <c r="Z43" s="94">
        <v>0</v>
      </c>
      <c r="AA43" s="94">
        <v>0</v>
      </c>
      <c r="AB43" s="94">
        <v>1.17142857142857E-2</v>
      </c>
      <c r="AC43" s="94">
        <v>1.42857142857143E-4</v>
      </c>
      <c r="AD43" s="94">
        <v>0</v>
      </c>
      <c r="AE43" s="94">
        <v>0</v>
      </c>
      <c r="AF43" s="94">
        <v>9.0895658263305326E-3</v>
      </c>
      <c r="AG43" s="94">
        <v>1.3605266450216449E-2</v>
      </c>
      <c r="AH43" s="94">
        <v>0.33333299999999999</v>
      </c>
      <c r="AI43" s="94">
        <v>0</v>
      </c>
      <c r="AJ43" s="94">
        <v>0</v>
      </c>
      <c r="AK43" s="94">
        <v>0</v>
      </c>
      <c r="AL43" s="94">
        <v>3.2142857142857098E-2</v>
      </c>
      <c r="AM43" s="94">
        <v>0</v>
      </c>
      <c r="AN43" s="94">
        <v>7.9208888888888898E-2</v>
      </c>
      <c r="AO43" s="94">
        <v>0</v>
      </c>
      <c r="AP43" s="94">
        <v>0</v>
      </c>
      <c r="AQ43" s="94">
        <v>0</v>
      </c>
      <c r="AR43" s="94">
        <v>0</v>
      </c>
      <c r="AS43" s="94">
        <v>0</v>
      </c>
      <c r="AT43" s="94">
        <v>0</v>
      </c>
      <c r="AU43" s="94">
        <v>0</v>
      </c>
      <c r="AV43" s="94">
        <v>0</v>
      </c>
      <c r="AW43" s="94">
        <v>0</v>
      </c>
      <c r="AX43" s="94">
        <v>0</v>
      </c>
      <c r="AY43" s="94">
        <v>0</v>
      </c>
      <c r="AZ43" s="94">
        <v>0</v>
      </c>
      <c r="BA43" s="94">
        <v>0</v>
      </c>
      <c r="BB43" s="94">
        <v>0</v>
      </c>
    </row>
    <row r="44" spans="1:54" x14ac:dyDescent="0.25">
      <c r="A44" s="96">
        <f t="shared" si="0"/>
        <v>40</v>
      </c>
      <c r="B44" s="95" t="s">
        <v>473</v>
      </c>
      <c r="C44" s="94">
        <v>0</v>
      </c>
      <c r="D44" s="94">
        <v>0</v>
      </c>
      <c r="E44" s="94">
        <v>0</v>
      </c>
      <c r="F44" s="94">
        <v>0</v>
      </c>
      <c r="G44" s="94">
        <v>0</v>
      </c>
      <c r="H44" s="94">
        <v>0</v>
      </c>
      <c r="I44" s="94">
        <v>6.5000000000000002E-2</v>
      </c>
      <c r="J44" s="94">
        <v>0</v>
      </c>
      <c r="K44" s="94">
        <v>0</v>
      </c>
      <c r="L44" s="94">
        <v>0</v>
      </c>
      <c r="M44" s="94">
        <v>3.4000000000000002E-2</v>
      </c>
      <c r="N44" s="94">
        <v>7.5000000000000002E-4</v>
      </c>
      <c r="O44" s="94">
        <v>8.5355555555555546E-2</v>
      </c>
      <c r="P44" s="94">
        <v>9.9600000000000008E-2</v>
      </c>
      <c r="Q44" s="94">
        <v>8.0890000000000004E-2</v>
      </c>
      <c r="R44" s="94">
        <v>0</v>
      </c>
      <c r="S44" s="94">
        <v>7.86833333333333E-2</v>
      </c>
      <c r="T44" s="94">
        <v>0.38524999999999998</v>
      </c>
      <c r="U44" s="94">
        <v>0.48959999999999998</v>
      </c>
      <c r="V44" s="94">
        <v>0.46525</v>
      </c>
      <c r="W44" s="94">
        <v>5.8666666666666702E-3</v>
      </c>
      <c r="X44" s="94">
        <v>0.36581999999999998</v>
      </c>
      <c r="Y44" s="94">
        <v>0.10250000000000001</v>
      </c>
      <c r="Z44" s="94">
        <v>0.10256666666666667</v>
      </c>
      <c r="AA44" s="94">
        <v>0.4377773036487323</v>
      </c>
      <c r="AB44" s="94">
        <v>0.78871428571428503</v>
      </c>
      <c r="AC44" s="94">
        <v>0.22668571428571399</v>
      </c>
      <c r="AD44" s="94">
        <v>2.3500000000000001E-3</v>
      </c>
      <c r="AE44" s="94">
        <v>4.2363640000000001E-2</v>
      </c>
      <c r="AF44" s="94">
        <v>0.21328368347338936</v>
      </c>
      <c r="AG44" s="94">
        <v>0.11092304372294347</v>
      </c>
      <c r="AH44" s="94">
        <v>0.33333000000000002</v>
      </c>
      <c r="AI44" s="94">
        <v>4.8994333333333341E-2</v>
      </c>
      <c r="AJ44" s="94">
        <v>7.9500000000000001E-2</v>
      </c>
      <c r="AK44" s="94">
        <v>0</v>
      </c>
      <c r="AL44" s="94">
        <v>0.05</v>
      </c>
      <c r="AM44" s="94">
        <v>0</v>
      </c>
      <c r="AN44" s="94">
        <v>0.11032888888888888</v>
      </c>
      <c r="AO44" s="94">
        <v>0</v>
      </c>
      <c r="AP44" s="94">
        <v>7.8499999999999993E-3</v>
      </c>
      <c r="AQ44" s="94">
        <v>0</v>
      </c>
      <c r="AR44" s="94">
        <v>0</v>
      </c>
      <c r="AS44" s="94">
        <v>0.163369877092783</v>
      </c>
      <c r="AT44" s="94">
        <v>0.63800000000000001</v>
      </c>
      <c r="AU44" s="94">
        <v>0</v>
      </c>
      <c r="AV44" s="94">
        <v>0</v>
      </c>
      <c r="AW44" s="94">
        <v>4.1666666666666699E-2</v>
      </c>
      <c r="AX44" s="94">
        <v>0</v>
      </c>
      <c r="AY44" s="94">
        <v>0</v>
      </c>
      <c r="AZ44" s="94">
        <v>0</v>
      </c>
      <c r="BA44" s="94">
        <v>0</v>
      </c>
      <c r="BB44" s="94">
        <v>0</v>
      </c>
    </row>
    <row r="45" spans="1:54" x14ac:dyDescent="0.25">
      <c r="A45" s="96">
        <f t="shared" si="0"/>
        <v>41</v>
      </c>
      <c r="B45" s="95" t="s">
        <v>475</v>
      </c>
      <c r="C45" s="94">
        <v>0</v>
      </c>
      <c r="D45" s="94">
        <v>0</v>
      </c>
      <c r="E45" s="94">
        <v>0</v>
      </c>
      <c r="F45" s="94">
        <v>0</v>
      </c>
      <c r="G45" s="94">
        <v>0</v>
      </c>
      <c r="H45" s="94">
        <v>0</v>
      </c>
      <c r="I45" s="94">
        <v>0</v>
      </c>
      <c r="J45" s="94">
        <v>0</v>
      </c>
      <c r="K45" s="94">
        <v>0</v>
      </c>
      <c r="L45" s="94">
        <v>0</v>
      </c>
      <c r="M45" s="94">
        <v>0</v>
      </c>
      <c r="N45" s="94">
        <v>0</v>
      </c>
      <c r="O45" s="94">
        <v>0</v>
      </c>
      <c r="P45" s="94">
        <v>0</v>
      </c>
      <c r="Q45" s="94">
        <v>0</v>
      </c>
      <c r="R45" s="94">
        <v>0</v>
      </c>
      <c r="S45" s="94">
        <v>0</v>
      </c>
      <c r="T45" s="94">
        <v>0</v>
      </c>
      <c r="U45" s="94">
        <v>0</v>
      </c>
      <c r="V45" s="94">
        <v>0</v>
      </c>
      <c r="W45" s="94">
        <v>0</v>
      </c>
      <c r="X45" s="94">
        <v>0</v>
      </c>
      <c r="Y45" s="94">
        <v>0</v>
      </c>
      <c r="Z45" s="94">
        <v>0</v>
      </c>
      <c r="AA45" s="94">
        <v>0</v>
      </c>
      <c r="AB45" s="94">
        <v>0</v>
      </c>
      <c r="AC45" s="94">
        <v>0</v>
      </c>
      <c r="AD45" s="94">
        <v>0</v>
      </c>
      <c r="AE45" s="94">
        <v>0</v>
      </c>
      <c r="AF45" s="94">
        <v>0</v>
      </c>
      <c r="AG45" s="94">
        <v>0</v>
      </c>
      <c r="AH45" s="94">
        <v>0</v>
      </c>
      <c r="AI45" s="94">
        <v>0</v>
      </c>
      <c r="AJ45" s="94">
        <v>0</v>
      </c>
      <c r="AK45" s="94">
        <v>0</v>
      </c>
      <c r="AL45" s="94">
        <v>0</v>
      </c>
      <c r="AM45" s="94">
        <v>0</v>
      </c>
      <c r="AN45" s="94">
        <v>0</v>
      </c>
      <c r="AO45" s="94">
        <v>0</v>
      </c>
      <c r="AP45" s="94">
        <v>0</v>
      </c>
      <c r="AQ45" s="94">
        <v>0</v>
      </c>
      <c r="AR45" s="94">
        <v>0</v>
      </c>
      <c r="AS45" s="94">
        <v>0</v>
      </c>
      <c r="AT45" s="94">
        <v>0</v>
      </c>
      <c r="AU45" s="94">
        <v>0</v>
      </c>
      <c r="AV45" s="94">
        <v>0</v>
      </c>
      <c r="AW45" s="94">
        <v>0</v>
      </c>
      <c r="AX45" s="94">
        <v>0</v>
      </c>
      <c r="AY45" s="94">
        <v>0</v>
      </c>
      <c r="AZ45" s="94">
        <v>0</v>
      </c>
      <c r="BA45" s="94">
        <v>0</v>
      </c>
      <c r="BB45" s="94">
        <v>0</v>
      </c>
    </row>
    <row r="46" spans="1:54" x14ac:dyDescent="0.25">
      <c r="A46" s="96">
        <f t="shared" si="0"/>
        <v>42</v>
      </c>
      <c r="B46" s="95" t="s">
        <v>477</v>
      </c>
      <c r="C46" s="94">
        <v>0</v>
      </c>
      <c r="D46" s="94">
        <v>0</v>
      </c>
      <c r="E46" s="94">
        <v>0</v>
      </c>
      <c r="F46" s="94">
        <v>0</v>
      </c>
      <c r="G46" s="94">
        <v>0</v>
      </c>
      <c r="H46" s="94">
        <v>0</v>
      </c>
      <c r="I46" s="94">
        <v>0</v>
      </c>
      <c r="J46" s="94">
        <v>0</v>
      </c>
      <c r="K46" s="94">
        <v>0</v>
      </c>
      <c r="L46" s="94">
        <v>0</v>
      </c>
      <c r="M46" s="94">
        <v>0</v>
      </c>
      <c r="N46" s="94">
        <v>0</v>
      </c>
      <c r="O46" s="94">
        <v>0</v>
      </c>
      <c r="P46" s="94">
        <v>0</v>
      </c>
      <c r="Q46" s="94">
        <v>0</v>
      </c>
      <c r="R46" s="94">
        <v>0</v>
      </c>
      <c r="S46" s="94">
        <v>0</v>
      </c>
      <c r="T46" s="94">
        <v>0</v>
      </c>
      <c r="U46" s="94">
        <v>0</v>
      </c>
      <c r="V46" s="94">
        <v>0</v>
      </c>
      <c r="W46" s="94">
        <v>0</v>
      </c>
      <c r="X46" s="94">
        <v>0</v>
      </c>
      <c r="Y46" s="94">
        <v>0</v>
      </c>
      <c r="Z46" s="94">
        <v>0</v>
      </c>
      <c r="AA46" s="94">
        <v>0</v>
      </c>
      <c r="AB46" s="94">
        <v>0</v>
      </c>
      <c r="AC46" s="94">
        <v>0</v>
      </c>
      <c r="AD46" s="94">
        <v>0</v>
      </c>
      <c r="AE46" s="94">
        <v>0</v>
      </c>
      <c r="AF46" s="94">
        <v>0</v>
      </c>
      <c r="AG46" s="94">
        <v>0</v>
      </c>
      <c r="AH46" s="94">
        <v>0</v>
      </c>
      <c r="AI46" s="94">
        <v>0</v>
      </c>
      <c r="AJ46" s="94">
        <v>0</v>
      </c>
      <c r="AK46" s="94">
        <v>0</v>
      </c>
      <c r="AL46" s="94">
        <v>0</v>
      </c>
      <c r="AM46" s="94">
        <v>0</v>
      </c>
      <c r="AN46" s="94">
        <v>0</v>
      </c>
      <c r="AO46" s="94">
        <v>0</v>
      </c>
      <c r="AP46" s="94">
        <v>0</v>
      </c>
      <c r="AQ46" s="94">
        <v>0</v>
      </c>
      <c r="AR46" s="94">
        <v>0</v>
      </c>
      <c r="AS46" s="94">
        <v>0</v>
      </c>
      <c r="AT46" s="94">
        <v>0</v>
      </c>
      <c r="AU46" s="94">
        <v>0</v>
      </c>
      <c r="AV46" s="94">
        <v>0</v>
      </c>
      <c r="AW46" s="94">
        <v>0</v>
      </c>
      <c r="AX46" s="94">
        <v>0</v>
      </c>
      <c r="AY46" s="94">
        <v>0</v>
      </c>
      <c r="AZ46" s="94">
        <v>0</v>
      </c>
      <c r="BA46" s="94">
        <v>0</v>
      </c>
      <c r="BB46" s="94">
        <v>0</v>
      </c>
    </row>
    <row r="47" spans="1:54" x14ac:dyDescent="0.25">
      <c r="A47" s="96">
        <f t="shared" si="0"/>
        <v>43</v>
      </c>
      <c r="B47" s="95" t="s">
        <v>479</v>
      </c>
      <c r="C47" s="94">
        <v>0</v>
      </c>
      <c r="D47" s="94">
        <v>0</v>
      </c>
      <c r="E47" s="94">
        <v>0</v>
      </c>
      <c r="F47" s="94">
        <v>0</v>
      </c>
      <c r="G47" s="94">
        <v>0</v>
      </c>
      <c r="H47" s="94">
        <v>0</v>
      </c>
      <c r="I47" s="94">
        <v>0</v>
      </c>
      <c r="J47" s="94">
        <v>0</v>
      </c>
      <c r="K47" s="94">
        <v>0</v>
      </c>
      <c r="L47" s="94">
        <v>0</v>
      </c>
      <c r="M47" s="94">
        <v>0</v>
      </c>
      <c r="N47" s="94">
        <v>0</v>
      </c>
      <c r="O47" s="94">
        <v>0</v>
      </c>
      <c r="P47" s="94">
        <v>0</v>
      </c>
      <c r="Q47" s="94">
        <v>0</v>
      </c>
      <c r="R47" s="94">
        <v>0</v>
      </c>
      <c r="S47" s="94">
        <v>0</v>
      </c>
      <c r="T47" s="94">
        <v>0</v>
      </c>
      <c r="U47" s="94">
        <v>0</v>
      </c>
      <c r="V47" s="94">
        <v>0</v>
      </c>
      <c r="W47" s="94">
        <v>0</v>
      </c>
      <c r="X47" s="94">
        <v>0</v>
      </c>
      <c r="Y47" s="94">
        <v>0</v>
      </c>
      <c r="Z47" s="94">
        <v>0</v>
      </c>
      <c r="AA47" s="94">
        <v>0</v>
      </c>
      <c r="AB47" s="94">
        <v>0</v>
      </c>
      <c r="AC47" s="94">
        <v>0</v>
      </c>
      <c r="AD47" s="94">
        <v>0</v>
      </c>
      <c r="AE47" s="94">
        <v>0</v>
      </c>
      <c r="AF47" s="94">
        <v>0</v>
      </c>
      <c r="AG47" s="94">
        <v>0</v>
      </c>
      <c r="AH47" s="94">
        <v>0</v>
      </c>
      <c r="AI47" s="94">
        <v>0</v>
      </c>
      <c r="AJ47" s="94">
        <v>0</v>
      </c>
      <c r="AK47" s="94">
        <v>0</v>
      </c>
      <c r="AL47" s="94">
        <v>0</v>
      </c>
      <c r="AM47" s="94">
        <v>0</v>
      </c>
      <c r="AN47" s="94">
        <v>0</v>
      </c>
      <c r="AO47" s="94">
        <v>0</v>
      </c>
      <c r="AP47" s="94">
        <v>0</v>
      </c>
      <c r="AQ47" s="94">
        <v>0</v>
      </c>
      <c r="AR47" s="94">
        <v>0</v>
      </c>
      <c r="AS47" s="94">
        <v>0</v>
      </c>
      <c r="AT47" s="94">
        <v>0</v>
      </c>
      <c r="AU47" s="94">
        <v>0</v>
      </c>
      <c r="AV47" s="94">
        <v>0</v>
      </c>
      <c r="AW47" s="94">
        <v>0</v>
      </c>
      <c r="AX47" s="94">
        <v>0</v>
      </c>
      <c r="AY47" s="94">
        <v>0</v>
      </c>
      <c r="AZ47" s="94">
        <v>0</v>
      </c>
      <c r="BA47" s="94">
        <v>0</v>
      </c>
      <c r="BB47" s="94">
        <v>0</v>
      </c>
    </row>
    <row r="48" spans="1:54" x14ac:dyDescent="0.25">
      <c r="A48" s="96">
        <f t="shared" si="0"/>
        <v>44</v>
      </c>
      <c r="B48" s="95" t="s">
        <v>481</v>
      </c>
      <c r="C48" s="94">
        <v>0</v>
      </c>
      <c r="D48" s="94">
        <v>0</v>
      </c>
      <c r="E48" s="94">
        <v>0</v>
      </c>
      <c r="F48" s="94">
        <v>0</v>
      </c>
      <c r="G48" s="94">
        <v>0</v>
      </c>
      <c r="H48" s="94">
        <v>0</v>
      </c>
      <c r="I48" s="94">
        <v>0</v>
      </c>
      <c r="J48" s="94">
        <v>0</v>
      </c>
      <c r="K48" s="94">
        <v>0</v>
      </c>
      <c r="L48" s="94">
        <v>0</v>
      </c>
      <c r="M48" s="94">
        <v>0</v>
      </c>
      <c r="N48" s="94">
        <v>0</v>
      </c>
      <c r="O48" s="94">
        <v>0</v>
      </c>
      <c r="P48" s="94">
        <v>0</v>
      </c>
      <c r="Q48" s="94">
        <v>0</v>
      </c>
      <c r="R48" s="94">
        <v>0</v>
      </c>
      <c r="S48" s="94">
        <v>0</v>
      </c>
      <c r="T48" s="94">
        <v>0</v>
      </c>
      <c r="U48" s="94">
        <v>0</v>
      </c>
      <c r="V48" s="94">
        <v>0</v>
      </c>
      <c r="W48" s="94">
        <v>0</v>
      </c>
      <c r="X48" s="94">
        <v>0</v>
      </c>
      <c r="Y48" s="94">
        <v>0</v>
      </c>
      <c r="Z48" s="94">
        <v>0</v>
      </c>
      <c r="AA48" s="94">
        <v>0</v>
      </c>
      <c r="AB48" s="94">
        <v>0</v>
      </c>
      <c r="AC48" s="94">
        <v>0</v>
      </c>
      <c r="AD48" s="94">
        <v>0</v>
      </c>
      <c r="AE48" s="94">
        <v>0</v>
      </c>
      <c r="AF48" s="94">
        <v>0</v>
      </c>
      <c r="AG48" s="94">
        <v>0</v>
      </c>
      <c r="AH48" s="94">
        <v>0</v>
      </c>
      <c r="AI48" s="94">
        <v>0</v>
      </c>
      <c r="AJ48" s="94">
        <v>0</v>
      </c>
      <c r="AK48" s="94">
        <v>0</v>
      </c>
      <c r="AL48" s="94">
        <v>0</v>
      </c>
      <c r="AM48" s="94">
        <v>0</v>
      </c>
      <c r="AN48" s="94">
        <v>0</v>
      </c>
      <c r="AO48" s="94">
        <v>0</v>
      </c>
      <c r="AP48" s="94">
        <v>0</v>
      </c>
      <c r="AQ48" s="94">
        <v>0</v>
      </c>
      <c r="AR48" s="94">
        <v>0</v>
      </c>
      <c r="AS48" s="94">
        <v>0</v>
      </c>
      <c r="AT48" s="94">
        <v>0</v>
      </c>
      <c r="AU48" s="94">
        <v>0</v>
      </c>
      <c r="AV48" s="94">
        <v>0</v>
      </c>
      <c r="AW48" s="94">
        <v>0</v>
      </c>
      <c r="AX48" s="94">
        <v>0</v>
      </c>
      <c r="AY48" s="94">
        <v>0</v>
      </c>
      <c r="AZ48" s="94">
        <v>0</v>
      </c>
      <c r="BA48" s="94">
        <v>0</v>
      </c>
      <c r="BB48" s="94">
        <v>0</v>
      </c>
    </row>
    <row r="49" spans="1:54" x14ac:dyDescent="0.25">
      <c r="A49" s="96">
        <f t="shared" si="0"/>
        <v>45</v>
      </c>
      <c r="B49" s="95" t="s">
        <v>483</v>
      </c>
      <c r="C49" s="94">
        <v>0</v>
      </c>
      <c r="D49" s="94">
        <v>0</v>
      </c>
      <c r="E49" s="94">
        <v>0</v>
      </c>
      <c r="F49" s="94">
        <v>0</v>
      </c>
      <c r="G49" s="94">
        <v>0</v>
      </c>
      <c r="H49" s="94">
        <v>0</v>
      </c>
      <c r="I49" s="94">
        <v>0</v>
      </c>
      <c r="J49" s="94">
        <v>0</v>
      </c>
      <c r="K49" s="94">
        <v>0</v>
      </c>
      <c r="L49" s="94">
        <v>0</v>
      </c>
      <c r="M49" s="94">
        <v>0</v>
      </c>
      <c r="N49" s="94">
        <v>0</v>
      </c>
      <c r="O49" s="94">
        <v>0</v>
      </c>
      <c r="P49" s="94">
        <v>0</v>
      </c>
      <c r="Q49" s="94">
        <v>0</v>
      </c>
      <c r="R49" s="94">
        <v>0</v>
      </c>
      <c r="S49" s="94">
        <v>0</v>
      </c>
      <c r="T49" s="94">
        <v>0</v>
      </c>
      <c r="U49" s="94">
        <v>0</v>
      </c>
      <c r="V49" s="94">
        <v>0</v>
      </c>
      <c r="W49" s="94">
        <v>0</v>
      </c>
      <c r="X49" s="94">
        <v>0</v>
      </c>
      <c r="Y49" s="94">
        <v>0</v>
      </c>
      <c r="Z49" s="94">
        <v>0</v>
      </c>
      <c r="AA49" s="94">
        <v>0</v>
      </c>
      <c r="AB49" s="94">
        <v>0</v>
      </c>
      <c r="AC49" s="94">
        <v>0</v>
      </c>
      <c r="AD49" s="94">
        <v>0</v>
      </c>
      <c r="AE49" s="94">
        <v>0</v>
      </c>
      <c r="AF49" s="94">
        <v>0</v>
      </c>
      <c r="AG49" s="94">
        <v>0</v>
      </c>
      <c r="AH49" s="94">
        <v>0</v>
      </c>
      <c r="AI49" s="94">
        <v>0</v>
      </c>
      <c r="AJ49" s="94">
        <v>0</v>
      </c>
      <c r="AK49" s="94">
        <v>0</v>
      </c>
      <c r="AL49" s="94">
        <v>0</v>
      </c>
      <c r="AM49" s="94">
        <v>0</v>
      </c>
      <c r="AN49" s="94">
        <v>0</v>
      </c>
      <c r="AO49" s="94">
        <v>0</v>
      </c>
      <c r="AP49" s="94">
        <v>0</v>
      </c>
      <c r="AQ49" s="94">
        <v>0</v>
      </c>
      <c r="AR49" s="94">
        <v>0</v>
      </c>
      <c r="AS49" s="94">
        <v>0</v>
      </c>
      <c r="AT49" s="94">
        <v>0</v>
      </c>
      <c r="AU49" s="94">
        <v>0</v>
      </c>
      <c r="AV49" s="94">
        <v>0</v>
      </c>
      <c r="AW49" s="94">
        <v>0</v>
      </c>
      <c r="AX49" s="94">
        <v>0</v>
      </c>
      <c r="AY49" s="94">
        <v>0</v>
      </c>
      <c r="AZ49" s="94">
        <v>0</v>
      </c>
      <c r="BA49" s="94">
        <v>0</v>
      </c>
      <c r="BB49" s="94">
        <v>0</v>
      </c>
    </row>
    <row r="50" spans="1:54" x14ac:dyDescent="0.25">
      <c r="A50" s="96">
        <f t="shared" si="0"/>
        <v>46</v>
      </c>
      <c r="B50" s="95" t="s">
        <v>638</v>
      </c>
      <c r="C50" s="94">
        <v>0</v>
      </c>
      <c r="D50" s="94">
        <v>0</v>
      </c>
      <c r="E50" s="94">
        <v>0</v>
      </c>
      <c r="F50" s="94">
        <v>0</v>
      </c>
      <c r="G50" s="94">
        <v>0</v>
      </c>
      <c r="H50" s="94">
        <v>0</v>
      </c>
      <c r="I50" s="94">
        <v>0</v>
      </c>
      <c r="J50" s="94">
        <v>0</v>
      </c>
      <c r="K50" s="94">
        <v>0</v>
      </c>
      <c r="L50" s="94">
        <v>0</v>
      </c>
      <c r="M50" s="94">
        <v>0</v>
      </c>
      <c r="N50" s="94">
        <v>0</v>
      </c>
      <c r="O50" s="94">
        <v>0</v>
      </c>
      <c r="P50" s="94">
        <v>0</v>
      </c>
      <c r="Q50" s="94">
        <v>0</v>
      </c>
      <c r="R50" s="94">
        <v>0</v>
      </c>
      <c r="S50" s="94">
        <v>0</v>
      </c>
      <c r="T50" s="94">
        <v>0</v>
      </c>
      <c r="U50" s="94">
        <v>0</v>
      </c>
      <c r="V50" s="94">
        <v>0</v>
      </c>
      <c r="W50" s="94">
        <v>0</v>
      </c>
      <c r="X50" s="94">
        <v>0</v>
      </c>
      <c r="Y50" s="94">
        <v>0</v>
      </c>
      <c r="Z50" s="94">
        <v>0</v>
      </c>
      <c r="AA50" s="94">
        <v>0</v>
      </c>
      <c r="AB50" s="94">
        <v>0</v>
      </c>
      <c r="AC50" s="94">
        <v>0</v>
      </c>
      <c r="AD50" s="94">
        <v>0</v>
      </c>
      <c r="AE50" s="94">
        <v>0</v>
      </c>
      <c r="AF50" s="94">
        <v>0</v>
      </c>
      <c r="AG50" s="94">
        <v>0</v>
      </c>
      <c r="AH50" s="94">
        <v>0</v>
      </c>
      <c r="AI50" s="94">
        <v>0</v>
      </c>
      <c r="AJ50" s="94">
        <v>0</v>
      </c>
      <c r="AK50" s="94">
        <v>0</v>
      </c>
      <c r="AL50" s="94">
        <v>0</v>
      </c>
      <c r="AM50" s="94">
        <v>0</v>
      </c>
      <c r="AN50" s="94">
        <v>0</v>
      </c>
      <c r="AO50" s="94">
        <v>0</v>
      </c>
      <c r="AP50" s="94">
        <v>0</v>
      </c>
      <c r="AQ50" s="94">
        <v>0</v>
      </c>
      <c r="AR50" s="94">
        <v>0</v>
      </c>
      <c r="AS50" s="94">
        <v>0</v>
      </c>
      <c r="AT50" s="94">
        <v>0</v>
      </c>
      <c r="AU50" s="94">
        <v>0</v>
      </c>
      <c r="AV50" s="94">
        <v>0</v>
      </c>
      <c r="AW50" s="94">
        <v>0</v>
      </c>
      <c r="AX50" s="94">
        <v>0</v>
      </c>
      <c r="AY50" s="94">
        <v>0</v>
      </c>
      <c r="AZ50" s="94">
        <v>0</v>
      </c>
      <c r="BA50" s="94">
        <v>0</v>
      </c>
      <c r="BB50" s="94">
        <v>0</v>
      </c>
    </row>
    <row r="51" spans="1:54" x14ac:dyDescent="0.25">
      <c r="A51" s="96">
        <f t="shared" si="0"/>
        <v>47</v>
      </c>
      <c r="B51" s="95" t="s">
        <v>487</v>
      </c>
      <c r="C51" s="94">
        <v>0</v>
      </c>
      <c r="D51" s="94">
        <v>0</v>
      </c>
      <c r="E51" s="94">
        <v>0</v>
      </c>
      <c r="F51" s="94">
        <v>0</v>
      </c>
      <c r="G51" s="94">
        <v>0</v>
      </c>
      <c r="H51" s="94">
        <v>0</v>
      </c>
      <c r="I51" s="94">
        <v>0</v>
      </c>
      <c r="J51" s="94">
        <v>0</v>
      </c>
      <c r="K51" s="94">
        <v>0</v>
      </c>
      <c r="L51" s="94">
        <v>0</v>
      </c>
      <c r="M51" s="94">
        <v>0</v>
      </c>
      <c r="N51" s="94">
        <v>0</v>
      </c>
      <c r="O51" s="94">
        <v>0</v>
      </c>
      <c r="P51" s="94">
        <v>0</v>
      </c>
      <c r="Q51" s="94">
        <v>0</v>
      </c>
      <c r="R51" s="94">
        <v>0</v>
      </c>
      <c r="S51" s="94">
        <v>0</v>
      </c>
      <c r="T51" s="94">
        <v>0</v>
      </c>
      <c r="U51" s="94">
        <v>0</v>
      </c>
      <c r="V51" s="94">
        <v>0</v>
      </c>
      <c r="W51" s="94">
        <v>0</v>
      </c>
      <c r="X51" s="94">
        <v>0</v>
      </c>
      <c r="Y51" s="94">
        <v>0</v>
      </c>
      <c r="Z51" s="94">
        <v>0</v>
      </c>
      <c r="AA51" s="94">
        <v>0</v>
      </c>
      <c r="AB51" s="94">
        <v>0</v>
      </c>
      <c r="AC51" s="94">
        <v>0</v>
      </c>
      <c r="AD51" s="94">
        <v>0</v>
      </c>
      <c r="AE51" s="94">
        <v>0</v>
      </c>
      <c r="AF51" s="94">
        <v>0</v>
      </c>
      <c r="AG51" s="94">
        <v>0</v>
      </c>
      <c r="AH51" s="94">
        <v>0</v>
      </c>
      <c r="AI51" s="94">
        <v>0</v>
      </c>
      <c r="AJ51" s="94">
        <v>0</v>
      </c>
      <c r="AK51" s="94">
        <v>0</v>
      </c>
      <c r="AL51" s="94">
        <v>0</v>
      </c>
      <c r="AM51" s="94">
        <v>0</v>
      </c>
      <c r="AN51" s="94">
        <v>0</v>
      </c>
      <c r="AO51" s="94">
        <v>0</v>
      </c>
      <c r="AP51" s="94">
        <v>0</v>
      </c>
      <c r="AQ51" s="94">
        <v>0</v>
      </c>
      <c r="AR51" s="94">
        <v>0</v>
      </c>
      <c r="AS51" s="94">
        <v>0</v>
      </c>
      <c r="AT51" s="94">
        <v>0</v>
      </c>
      <c r="AU51" s="94">
        <v>0</v>
      </c>
      <c r="AV51" s="94">
        <v>0</v>
      </c>
      <c r="AW51" s="94">
        <v>0</v>
      </c>
      <c r="AX51" s="94">
        <v>0</v>
      </c>
      <c r="AY51" s="94">
        <v>0</v>
      </c>
      <c r="AZ51" s="94">
        <v>0</v>
      </c>
      <c r="BA51" s="94">
        <v>0</v>
      </c>
      <c r="BB51" s="94">
        <v>0</v>
      </c>
    </row>
    <row r="52" spans="1:54" x14ac:dyDescent="0.25">
      <c r="A52" s="96">
        <f t="shared" si="0"/>
        <v>48</v>
      </c>
      <c r="B52" s="95" t="s">
        <v>489</v>
      </c>
      <c r="C52" s="94">
        <v>0</v>
      </c>
      <c r="D52" s="94">
        <v>0</v>
      </c>
      <c r="E52" s="94">
        <v>0</v>
      </c>
      <c r="F52" s="94">
        <v>0</v>
      </c>
      <c r="G52" s="94">
        <v>0</v>
      </c>
      <c r="H52" s="94">
        <v>0</v>
      </c>
      <c r="I52" s="94">
        <v>0</v>
      </c>
      <c r="J52" s="94">
        <v>0</v>
      </c>
      <c r="K52" s="94">
        <v>0</v>
      </c>
      <c r="L52" s="94">
        <v>0</v>
      </c>
      <c r="M52" s="94">
        <v>0</v>
      </c>
      <c r="N52" s="94">
        <v>0</v>
      </c>
      <c r="O52" s="94">
        <v>0</v>
      </c>
      <c r="P52" s="94">
        <v>0</v>
      </c>
      <c r="Q52" s="94">
        <v>0</v>
      </c>
      <c r="R52" s="94">
        <v>0</v>
      </c>
      <c r="S52" s="94">
        <v>0</v>
      </c>
      <c r="T52" s="94">
        <v>0</v>
      </c>
      <c r="U52" s="94">
        <v>0</v>
      </c>
      <c r="V52" s="94">
        <v>0</v>
      </c>
      <c r="W52" s="94">
        <v>0</v>
      </c>
      <c r="X52" s="94">
        <v>0</v>
      </c>
      <c r="Y52" s="94">
        <v>0</v>
      </c>
      <c r="Z52" s="94">
        <v>2.7333333333333295E-4</v>
      </c>
      <c r="AA52" s="94">
        <v>0</v>
      </c>
      <c r="AB52" s="94">
        <v>0</v>
      </c>
      <c r="AC52" s="94">
        <v>0</v>
      </c>
      <c r="AD52" s="94">
        <v>0</v>
      </c>
      <c r="AE52" s="94">
        <v>0</v>
      </c>
      <c r="AF52" s="94">
        <v>0</v>
      </c>
      <c r="AG52" s="94">
        <v>0</v>
      </c>
      <c r="AH52" s="94">
        <v>0</v>
      </c>
      <c r="AI52" s="94">
        <v>0</v>
      </c>
      <c r="AJ52" s="94">
        <v>0</v>
      </c>
      <c r="AK52" s="94">
        <v>0</v>
      </c>
      <c r="AL52" s="94">
        <v>0</v>
      </c>
      <c r="AM52" s="94">
        <v>0</v>
      </c>
      <c r="AN52" s="94">
        <v>0</v>
      </c>
      <c r="AO52" s="94">
        <v>0</v>
      </c>
      <c r="AP52" s="94">
        <v>0</v>
      </c>
      <c r="AQ52" s="94">
        <v>0</v>
      </c>
      <c r="AR52" s="94">
        <v>0</v>
      </c>
      <c r="AS52" s="94">
        <v>0</v>
      </c>
      <c r="AT52" s="94">
        <v>0</v>
      </c>
      <c r="AU52" s="94">
        <v>0</v>
      </c>
      <c r="AV52" s="94">
        <v>0</v>
      </c>
      <c r="AW52" s="94">
        <v>0</v>
      </c>
      <c r="AX52" s="94">
        <v>0</v>
      </c>
      <c r="AY52" s="94">
        <v>0</v>
      </c>
      <c r="AZ52" s="94">
        <v>0</v>
      </c>
      <c r="BA52" s="94">
        <v>0</v>
      </c>
      <c r="BB52" s="94">
        <v>0</v>
      </c>
    </row>
    <row r="53" spans="1:54" x14ac:dyDescent="0.25">
      <c r="A53" s="96">
        <f t="shared" si="0"/>
        <v>49</v>
      </c>
      <c r="B53" s="95" t="s">
        <v>356</v>
      </c>
      <c r="C53" s="94">
        <v>0</v>
      </c>
      <c r="D53" s="94">
        <v>0</v>
      </c>
      <c r="E53" s="94">
        <v>0</v>
      </c>
      <c r="F53" s="94">
        <v>0</v>
      </c>
      <c r="G53" s="94">
        <v>0</v>
      </c>
      <c r="H53" s="94">
        <v>0</v>
      </c>
      <c r="I53" s="94">
        <v>0</v>
      </c>
      <c r="J53" s="94">
        <v>0</v>
      </c>
      <c r="K53" s="94">
        <v>0</v>
      </c>
      <c r="L53" s="94">
        <v>0</v>
      </c>
      <c r="M53" s="94">
        <v>0</v>
      </c>
      <c r="N53" s="94">
        <v>0</v>
      </c>
      <c r="O53" s="94">
        <v>0</v>
      </c>
      <c r="P53" s="94">
        <v>0</v>
      </c>
      <c r="Q53" s="94">
        <v>0</v>
      </c>
      <c r="R53" s="94">
        <v>0</v>
      </c>
      <c r="S53" s="94">
        <v>0</v>
      </c>
      <c r="T53" s="94">
        <v>0</v>
      </c>
      <c r="U53" s="94">
        <v>0</v>
      </c>
      <c r="V53" s="94">
        <v>0</v>
      </c>
      <c r="W53" s="94">
        <v>0</v>
      </c>
      <c r="X53" s="94">
        <v>0</v>
      </c>
      <c r="Y53" s="94">
        <v>0</v>
      </c>
      <c r="Z53" s="94">
        <v>0</v>
      </c>
      <c r="AA53" s="94">
        <v>0</v>
      </c>
      <c r="AB53" s="94">
        <v>0</v>
      </c>
      <c r="AC53" s="94">
        <v>0</v>
      </c>
      <c r="AD53" s="94">
        <v>0</v>
      </c>
      <c r="AE53" s="94">
        <v>0</v>
      </c>
      <c r="AF53" s="94">
        <v>0</v>
      </c>
      <c r="AG53" s="94">
        <v>0</v>
      </c>
      <c r="AH53" s="94">
        <v>0</v>
      </c>
      <c r="AI53" s="94">
        <v>0</v>
      </c>
      <c r="AJ53" s="94">
        <v>0</v>
      </c>
      <c r="AK53" s="94">
        <v>0</v>
      </c>
      <c r="AL53" s="94">
        <v>0</v>
      </c>
      <c r="AM53" s="94">
        <v>0</v>
      </c>
      <c r="AN53" s="94">
        <v>0</v>
      </c>
      <c r="AO53" s="94">
        <v>0</v>
      </c>
      <c r="AP53" s="94">
        <v>0</v>
      </c>
      <c r="AQ53" s="94">
        <v>0</v>
      </c>
      <c r="AR53" s="94">
        <v>0</v>
      </c>
      <c r="AS53" s="94">
        <v>0</v>
      </c>
      <c r="AT53" s="94">
        <v>0</v>
      </c>
      <c r="AU53" s="94">
        <v>0</v>
      </c>
      <c r="AV53" s="94">
        <v>0</v>
      </c>
      <c r="AW53" s="94">
        <v>0</v>
      </c>
      <c r="AX53" s="94">
        <v>0</v>
      </c>
      <c r="AY53" s="94">
        <v>0</v>
      </c>
      <c r="AZ53" s="94">
        <v>0</v>
      </c>
      <c r="BA53" s="94">
        <v>0</v>
      </c>
      <c r="BB53" s="94">
        <v>0</v>
      </c>
    </row>
    <row r="54" spans="1:54" x14ac:dyDescent="0.25">
      <c r="A54" s="96">
        <f t="shared" si="0"/>
        <v>50</v>
      </c>
      <c r="B54" s="95" t="s">
        <v>357</v>
      </c>
      <c r="C54" s="94">
        <v>0</v>
      </c>
      <c r="D54" s="94">
        <v>0</v>
      </c>
      <c r="E54" s="94">
        <v>0</v>
      </c>
      <c r="F54" s="94">
        <v>0</v>
      </c>
      <c r="G54" s="94">
        <v>0</v>
      </c>
      <c r="H54" s="94">
        <v>0</v>
      </c>
      <c r="I54" s="94">
        <v>0</v>
      </c>
      <c r="J54" s="94">
        <v>0</v>
      </c>
      <c r="K54" s="94">
        <v>0</v>
      </c>
      <c r="L54" s="94">
        <v>0</v>
      </c>
      <c r="M54" s="94">
        <v>0</v>
      </c>
      <c r="N54" s="94">
        <v>0</v>
      </c>
      <c r="O54" s="94">
        <v>0</v>
      </c>
      <c r="P54" s="94">
        <v>0</v>
      </c>
      <c r="Q54" s="94">
        <v>0</v>
      </c>
      <c r="R54" s="94">
        <v>0</v>
      </c>
      <c r="S54" s="94">
        <v>0</v>
      </c>
      <c r="T54" s="94">
        <v>0</v>
      </c>
      <c r="U54" s="94">
        <v>0</v>
      </c>
      <c r="V54" s="94">
        <v>0</v>
      </c>
      <c r="W54" s="94">
        <v>0</v>
      </c>
      <c r="X54" s="94">
        <v>0</v>
      </c>
      <c r="Y54" s="94">
        <v>0</v>
      </c>
      <c r="Z54" s="94">
        <v>0</v>
      </c>
      <c r="AA54" s="94">
        <v>0</v>
      </c>
      <c r="AB54" s="94">
        <v>0</v>
      </c>
      <c r="AC54" s="94">
        <v>0</v>
      </c>
      <c r="AD54" s="94">
        <v>0</v>
      </c>
      <c r="AE54" s="94">
        <v>0</v>
      </c>
      <c r="AF54" s="94">
        <v>0</v>
      </c>
      <c r="AG54" s="94">
        <v>0</v>
      </c>
      <c r="AH54" s="94">
        <v>0</v>
      </c>
      <c r="AI54" s="94">
        <v>0</v>
      </c>
      <c r="AJ54" s="94">
        <v>0</v>
      </c>
      <c r="AK54" s="94">
        <v>0</v>
      </c>
      <c r="AL54" s="94">
        <v>0</v>
      </c>
      <c r="AM54" s="94">
        <v>0</v>
      </c>
      <c r="AN54" s="94">
        <v>0</v>
      </c>
      <c r="AO54" s="94">
        <v>0</v>
      </c>
      <c r="AP54" s="94">
        <v>0</v>
      </c>
      <c r="AQ54" s="94">
        <v>0</v>
      </c>
      <c r="AR54" s="94">
        <v>0</v>
      </c>
      <c r="AS54" s="94">
        <v>0</v>
      </c>
      <c r="AT54" s="94">
        <v>0</v>
      </c>
      <c r="AU54" s="94">
        <v>0</v>
      </c>
      <c r="AV54" s="94">
        <v>0</v>
      </c>
      <c r="AW54" s="94">
        <v>0</v>
      </c>
      <c r="AX54" s="94">
        <v>0</v>
      </c>
      <c r="AY54" s="94">
        <v>0</v>
      </c>
      <c r="AZ54" s="94">
        <v>0</v>
      </c>
      <c r="BA54" s="94">
        <v>0</v>
      </c>
      <c r="BB54" s="94">
        <v>0</v>
      </c>
    </row>
    <row r="55" spans="1:54" x14ac:dyDescent="0.25">
      <c r="A55" s="96">
        <f t="shared" si="0"/>
        <v>51</v>
      </c>
      <c r="B55" s="95" t="s">
        <v>679</v>
      </c>
      <c r="C55" s="94">
        <v>0.01</v>
      </c>
      <c r="D55" s="94">
        <v>0</v>
      </c>
      <c r="E55" s="94">
        <v>0.28999999999999998</v>
      </c>
      <c r="F55" s="94">
        <v>5.5E-2</v>
      </c>
      <c r="G55" s="94">
        <v>7.0000000000000034E-2</v>
      </c>
      <c r="H55" s="94">
        <v>4.2857142857142898E-4</v>
      </c>
      <c r="I55" s="94">
        <v>0.16666666666666699</v>
      </c>
      <c r="J55" s="94">
        <v>0</v>
      </c>
      <c r="K55" s="94">
        <v>0.30599999999999999</v>
      </c>
      <c r="L55" s="94">
        <v>0</v>
      </c>
      <c r="M55" s="94">
        <v>3.6999999999999998E-2</v>
      </c>
      <c r="N55" s="94">
        <v>0.60355000000000003</v>
      </c>
      <c r="O55" s="94">
        <v>0.2</v>
      </c>
      <c r="P55" s="94">
        <v>0.10215</v>
      </c>
      <c r="Q55" s="94">
        <v>0.28754000000000002</v>
      </c>
      <c r="R55" s="94">
        <v>2.6249999999999999E-2</v>
      </c>
      <c r="S55" s="94">
        <v>0.29073333333333301</v>
      </c>
      <c r="T55" s="94">
        <v>7.2500000000000004E-3</v>
      </c>
      <c r="U55" s="94">
        <v>1.81777777777778E-2</v>
      </c>
      <c r="V55" s="94">
        <v>1.10055555555556E-2</v>
      </c>
      <c r="W55" s="94">
        <v>0</v>
      </c>
      <c r="X55" s="94">
        <v>7.2179999999999994E-2</v>
      </c>
      <c r="Y55" s="94">
        <v>5.7500000000000002E-2</v>
      </c>
      <c r="Z55" s="94">
        <v>0</v>
      </c>
      <c r="AA55" s="94">
        <v>1.7986394557823131E-2</v>
      </c>
      <c r="AB55" s="94">
        <v>1.21E-2</v>
      </c>
      <c r="AC55" s="94">
        <v>0.188285714285714</v>
      </c>
      <c r="AD55" s="94">
        <v>3.95E-2</v>
      </c>
      <c r="AE55" s="94">
        <v>0.13783030666666701</v>
      </c>
      <c r="AF55" s="94">
        <v>1.2324859943977596E-2</v>
      </c>
      <c r="AG55" s="94">
        <v>0.10678253917748944</v>
      </c>
      <c r="AH55" s="94">
        <v>0</v>
      </c>
      <c r="AI55" s="94">
        <v>0.16308333333333336</v>
      </c>
      <c r="AJ55" s="94">
        <v>8.5666666666666696E-2</v>
      </c>
      <c r="AK55" s="94">
        <v>0.13750000000000001</v>
      </c>
      <c r="AL55" s="94">
        <v>0.122857142857143</v>
      </c>
      <c r="AM55" s="94">
        <v>6.6666666666666697E-3</v>
      </c>
      <c r="AN55" s="94">
        <v>0.11527777777777778</v>
      </c>
      <c r="AO55" s="94">
        <v>0</v>
      </c>
      <c r="AP55" s="94">
        <v>0</v>
      </c>
      <c r="AQ55" s="94">
        <v>0</v>
      </c>
      <c r="AR55" s="94">
        <v>0</v>
      </c>
      <c r="AS55" s="94">
        <v>5.8151785714285698E-2</v>
      </c>
      <c r="AT55" s="94">
        <v>8.4500000000000006E-2</v>
      </c>
      <c r="AU55" s="94">
        <v>0</v>
      </c>
      <c r="AV55" s="94">
        <v>0</v>
      </c>
      <c r="AW55" s="94">
        <v>0</v>
      </c>
      <c r="AX55" s="94">
        <v>0</v>
      </c>
      <c r="AY55" s="94">
        <v>0</v>
      </c>
      <c r="AZ55" s="94">
        <v>0</v>
      </c>
      <c r="BA55" s="94">
        <v>0</v>
      </c>
      <c r="BB55" s="94">
        <v>0</v>
      </c>
    </row>
    <row r="56" spans="1:54" x14ac:dyDescent="0.25">
      <c r="A56" s="96">
        <f t="shared" si="0"/>
        <v>52</v>
      </c>
      <c r="B56" s="95" t="s">
        <v>5</v>
      </c>
      <c r="C56" s="94">
        <v>0</v>
      </c>
      <c r="D56" s="94">
        <v>0</v>
      </c>
      <c r="E56" s="94">
        <v>0</v>
      </c>
      <c r="F56" s="94">
        <v>0</v>
      </c>
      <c r="G56" s="94">
        <v>0</v>
      </c>
      <c r="H56" s="94">
        <v>0</v>
      </c>
      <c r="I56" s="94">
        <v>0</v>
      </c>
      <c r="J56" s="94">
        <v>4.8229442832221102E-2</v>
      </c>
      <c r="K56" s="94">
        <v>0</v>
      </c>
      <c r="L56" s="94">
        <v>2.8369696969696968E-2</v>
      </c>
      <c r="M56" s="94">
        <v>0</v>
      </c>
      <c r="N56" s="94">
        <v>0</v>
      </c>
      <c r="O56" s="94">
        <v>0</v>
      </c>
      <c r="P56" s="94">
        <v>0</v>
      </c>
      <c r="Q56" s="94">
        <v>0</v>
      </c>
      <c r="R56" s="94">
        <v>0</v>
      </c>
      <c r="S56" s="94">
        <v>0</v>
      </c>
      <c r="T56" s="94">
        <v>0</v>
      </c>
      <c r="U56" s="94">
        <v>0</v>
      </c>
      <c r="V56" s="94">
        <v>0</v>
      </c>
      <c r="W56" s="94">
        <v>0</v>
      </c>
      <c r="X56" s="94">
        <v>0</v>
      </c>
      <c r="Y56" s="94">
        <v>0</v>
      </c>
      <c r="Z56" s="94">
        <v>0</v>
      </c>
      <c r="AA56" s="94">
        <v>0</v>
      </c>
      <c r="AB56" s="94">
        <v>0</v>
      </c>
      <c r="AC56" s="94">
        <v>0</v>
      </c>
      <c r="AD56" s="94">
        <v>0</v>
      </c>
      <c r="AE56" s="94">
        <v>2.59914177777778E-2</v>
      </c>
      <c r="AF56" s="94">
        <v>0</v>
      </c>
      <c r="AG56" s="94">
        <v>0</v>
      </c>
      <c r="AH56" s="94">
        <v>0</v>
      </c>
      <c r="AI56" s="94">
        <v>1.6160833333333333E-2</v>
      </c>
      <c r="AJ56" s="94">
        <v>0</v>
      </c>
      <c r="AK56" s="94">
        <v>0</v>
      </c>
      <c r="AL56" s="94">
        <v>0</v>
      </c>
      <c r="AM56" s="94">
        <v>0</v>
      </c>
      <c r="AN56" s="94">
        <v>0</v>
      </c>
      <c r="AO56" s="94">
        <v>0</v>
      </c>
      <c r="AP56" s="94">
        <v>0</v>
      </c>
      <c r="AQ56" s="94">
        <v>0</v>
      </c>
      <c r="AR56" s="94">
        <v>0</v>
      </c>
      <c r="AS56" s="94">
        <v>0</v>
      </c>
      <c r="AT56" s="94">
        <v>0</v>
      </c>
      <c r="AU56" s="94">
        <v>0</v>
      </c>
      <c r="AV56" s="94">
        <v>0</v>
      </c>
      <c r="AW56" s="94">
        <v>0</v>
      </c>
      <c r="AX56" s="94">
        <v>0</v>
      </c>
      <c r="AY56" s="94">
        <v>0</v>
      </c>
      <c r="AZ56" s="94">
        <v>0</v>
      </c>
      <c r="BA56" s="94">
        <v>0</v>
      </c>
      <c r="BB56" s="94">
        <v>0</v>
      </c>
    </row>
    <row r="57" spans="1:54" x14ac:dyDescent="0.25">
      <c r="A57" s="96">
        <f t="shared" si="0"/>
        <v>53</v>
      </c>
      <c r="B57" s="95" t="s">
        <v>727</v>
      </c>
      <c r="C57" s="94">
        <v>0</v>
      </c>
      <c r="D57" s="94">
        <v>0</v>
      </c>
      <c r="E57" s="94">
        <v>0</v>
      </c>
      <c r="F57" s="94">
        <v>0</v>
      </c>
      <c r="G57" s="94">
        <v>0</v>
      </c>
      <c r="H57" s="94">
        <v>0</v>
      </c>
      <c r="I57" s="94">
        <v>0</v>
      </c>
      <c r="J57" s="94">
        <v>0</v>
      </c>
      <c r="K57" s="94">
        <v>0</v>
      </c>
      <c r="L57" s="94">
        <v>0</v>
      </c>
      <c r="M57" s="94">
        <v>0</v>
      </c>
      <c r="N57" s="94">
        <v>0</v>
      </c>
      <c r="O57" s="94">
        <v>0</v>
      </c>
      <c r="P57" s="94">
        <v>0</v>
      </c>
      <c r="Q57" s="94">
        <v>0</v>
      </c>
      <c r="R57" s="94">
        <v>0</v>
      </c>
      <c r="S57" s="94">
        <v>0</v>
      </c>
      <c r="T57" s="94">
        <v>0</v>
      </c>
      <c r="U57" s="94">
        <v>0</v>
      </c>
      <c r="V57" s="94">
        <v>0</v>
      </c>
      <c r="W57" s="94">
        <v>0</v>
      </c>
      <c r="X57" s="94">
        <v>0</v>
      </c>
      <c r="Y57" s="94">
        <v>0</v>
      </c>
      <c r="Z57" s="94">
        <v>0</v>
      </c>
      <c r="AA57" s="94">
        <v>0</v>
      </c>
      <c r="AB57" s="94">
        <v>0</v>
      </c>
      <c r="AC57" s="94">
        <v>0</v>
      </c>
      <c r="AD57" s="94">
        <v>0</v>
      </c>
      <c r="AE57" s="94">
        <v>0</v>
      </c>
      <c r="AF57" s="94">
        <v>0</v>
      </c>
      <c r="AG57" s="94">
        <v>0</v>
      </c>
      <c r="AH57" s="94">
        <v>0</v>
      </c>
      <c r="AI57" s="94">
        <v>0</v>
      </c>
      <c r="AJ57" s="94">
        <v>0</v>
      </c>
      <c r="AK57" s="94">
        <v>0</v>
      </c>
      <c r="AL57" s="94">
        <v>0</v>
      </c>
      <c r="AM57" s="94">
        <v>0</v>
      </c>
      <c r="AN57" s="94">
        <v>0</v>
      </c>
      <c r="AO57" s="94">
        <v>0</v>
      </c>
      <c r="AP57" s="94">
        <v>0</v>
      </c>
      <c r="AQ57" s="94">
        <v>0</v>
      </c>
      <c r="AR57" s="94">
        <v>0</v>
      </c>
      <c r="AS57" s="94">
        <v>0</v>
      </c>
      <c r="AT57" s="94">
        <v>0</v>
      </c>
      <c r="AU57" s="94">
        <v>0</v>
      </c>
      <c r="AV57" s="94">
        <v>0</v>
      </c>
      <c r="AW57" s="94">
        <v>0</v>
      </c>
      <c r="AX57" s="94">
        <v>0</v>
      </c>
      <c r="AY57" s="94">
        <v>0</v>
      </c>
      <c r="AZ57" s="94">
        <v>0</v>
      </c>
      <c r="BA57" s="94">
        <v>0</v>
      </c>
      <c r="BB57" s="94">
        <v>0</v>
      </c>
    </row>
    <row r="58" spans="1:54" x14ac:dyDescent="0.25">
      <c r="A58" s="96">
        <f t="shared" si="0"/>
        <v>54</v>
      </c>
      <c r="B58" s="95" t="s">
        <v>681</v>
      </c>
      <c r="C58" s="94">
        <v>0</v>
      </c>
      <c r="D58" s="94">
        <v>0</v>
      </c>
      <c r="E58" s="94">
        <v>0.1</v>
      </c>
      <c r="F58" s="94">
        <v>0.82750000000000001</v>
      </c>
      <c r="G58" s="94">
        <v>8.6249999999999993E-2</v>
      </c>
      <c r="H58" s="94">
        <v>0</v>
      </c>
      <c r="I58" s="94">
        <v>0.28999999999999998</v>
      </c>
      <c r="J58" s="94">
        <v>0</v>
      </c>
      <c r="K58" s="94">
        <v>0</v>
      </c>
      <c r="L58" s="94">
        <v>0</v>
      </c>
      <c r="M58" s="94">
        <v>0</v>
      </c>
      <c r="N58" s="94">
        <v>0</v>
      </c>
      <c r="O58" s="94">
        <v>0</v>
      </c>
      <c r="P58" s="94">
        <v>2.9625000000000002E-2</v>
      </c>
      <c r="Q58" s="94">
        <v>0</v>
      </c>
      <c r="R58" s="94">
        <v>0</v>
      </c>
      <c r="S58" s="94">
        <v>0</v>
      </c>
      <c r="T58" s="94">
        <v>0</v>
      </c>
      <c r="U58" s="94">
        <v>1.9022222222222201E-2</v>
      </c>
      <c r="V58" s="94">
        <v>7.4333333333333307E-2</v>
      </c>
      <c r="W58" s="94">
        <v>0</v>
      </c>
      <c r="X58" s="94">
        <v>0</v>
      </c>
      <c r="Y58" s="94">
        <v>0</v>
      </c>
      <c r="Z58" s="94">
        <v>0</v>
      </c>
      <c r="AA58" s="94">
        <v>0</v>
      </c>
      <c r="AB58" s="94">
        <v>0</v>
      </c>
      <c r="AC58" s="94">
        <v>0</v>
      </c>
      <c r="AD58" s="94">
        <v>0</v>
      </c>
      <c r="AE58" s="94">
        <v>0</v>
      </c>
      <c r="AF58" s="94">
        <v>0</v>
      </c>
      <c r="AG58" s="94">
        <v>0.14634112554112555</v>
      </c>
      <c r="AH58" s="94">
        <v>0</v>
      </c>
      <c r="AI58" s="94">
        <v>0</v>
      </c>
      <c r="AJ58" s="94">
        <v>0</v>
      </c>
      <c r="AK58" s="94">
        <v>0</v>
      </c>
      <c r="AL58" s="94">
        <v>0.3468571428571427</v>
      </c>
      <c r="AM58" s="94">
        <v>0.40666666666666701</v>
      </c>
      <c r="AN58" s="94">
        <v>0.21227777777777779</v>
      </c>
      <c r="AO58" s="94">
        <v>0</v>
      </c>
      <c r="AP58" s="94">
        <v>0</v>
      </c>
      <c r="AQ58" s="94">
        <v>0</v>
      </c>
      <c r="AR58" s="94">
        <v>2.5000000000000001E-2</v>
      </c>
      <c r="AS58" s="94">
        <v>0</v>
      </c>
      <c r="AT58" s="94">
        <v>0</v>
      </c>
      <c r="AU58" s="94">
        <v>0</v>
      </c>
      <c r="AV58" s="94">
        <v>0</v>
      </c>
      <c r="AW58" s="94">
        <v>0</v>
      </c>
      <c r="AX58" s="94">
        <v>0</v>
      </c>
      <c r="AY58" s="94">
        <v>0</v>
      </c>
      <c r="AZ58" s="94">
        <v>0</v>
      </c>
      <c r="BA58" s="94">
        <v>0</v>
      </c>
      <c r="BB58" s="94">
        <v>0</v>
      </c>
    </row>
    <row r="59" spans="1:54" s="101" customFormat="1" x14ac:dyDescent="0.25">
      <c r="A59" s="96">
        <f t="shared" si="0"/>
        <v>55</v>
      </c>
      <c r="B59" s="95" t="s">
        <v>352</v>
      </c>
      <c r="C59" s="94">
        <v>0.24000000000000002</v>
      </c>
      <c r="D59" s="94">
        <v>0</v>
      </c>
      <c r="E59" s="94">
        <v>0</v>
      </c>
      <c r="F59" s="94">
        <v>0</v>
      </c>
      <c r="G59" s="94">
        <v>0</v>
      </c>
      <c r="H59" s="94">
        <v>0</v>
      </c>
      <c r="I59" s="94">
        <v>0</v>
      </c>
      <c r="J59" s="94">
        <v>0</v>
      </c>
      <c r="K59" s="94">
        <v>0</v>
      </c>
      <c r="L59" s="94">
        <v>0</v>
      </c>
      <c r="M59" s="94">
        <v>0</v>
      </c>
      <c r="N59" s="94">
        <v>0</v>
      </c>
      <c r="O59" s="94">
        <v>0</v>
      </c>
      <c r="P59" s="94">
        <v>0</v>
      </c>
      <c r="Q59" s="94">
        <v>0</v>
      </c>
      <c r="R59" s="94">
        <v>0</v>
      </c>
      <c r="S59" s="94">
        <v>0</v>
      </c>
      <c r="T59" s="94">
        <v>0</v>
      </c>
      <c r="U59" s="94">
        <v>0</v>
      </c>
      <c r="V59" s="94">
        <v>0</v>
      </c>
      <c r="W59" s="94">
        <v>0</v>
      </c>
      <c r="X59" s="94">
        <v>0</v>
      </c>
      <c r="Y59" s="94">
        <v>3.7999999999999999E-2</v>
      </c>
      <c r="Z59" s="94">
        <v>1.0000000000000001E-5</v>
      </c>
      <c r="AA59" s="94">
        <v>1.516821273964131E-2</v>
      </c>
      <c r="AB59" s="94">
        <v>4.4428571428571399E-3</v>
      </c>
      <c r="AC59" s="94">
        <v>0</v>
      </c>
      <c r="AD59" s="94">
        <v>0</v>
      </c>
      <c r="AE59" s="94">
        <v>7.4166678666666638E-3</v>
      </c>
      <c r="AF59" s="94">
        <v>4.3999999999999997E-2</v>
      </c>
      <c r="AG59" s="94">
        <v>0</v>
      </c>
      <c r="AH59" s="94">
        <v>0</v>
      </c>
      <c r="AI59" s="94">
        <v>0</v>
      </c>
      <c r="AJ59" s="94">
        <v>0</v>
      </c>
      <c r="AK59" s="94">
        <v>0</v>
      </c>
      <c r="AL59" s="94">
        <v>0</v>
      </c>
      <c r="AM59" s="94">
        <v>0</v>
      </c>
      <c r="AN59" s="94">
        <v>0</v>
      </c>
      <c r="AO59" s="94">
        <v>3.0000000000000001E-3</v>
      </c>
      <c r="AP59" s="94">
        <v>0</v>
      </c>
      <c r="AQ59" s="94">
        <v>3.0000000000000001E-5</v>
      </c>
      <c r="AR59" s="94">
        <v>0</v>
      </c>
      <c r="AS59" s="94">
        <v>0</v>
      </c>
      <c r="AT59" s="94">
        <v>0</v>
      </c>
      <c r="AU59" s="94">
        <v>0</v>
      </c>
      <c r="AV59" s="94">
        <v>0.124</v>
      </c>
      <c r="AW59" s="94">
        <v>0</v>
      </c>
      <c r="AX59" s="94">
        <v>0</v>
      </c>
      <c r="AY59" s="94">
        <v>0</v>
      </c>
      <c r="AZ59" s="94">
        <v>0</v>
      </c>
      <c r="BA59" s="94">
        <v>0</v>
      </c>
      <c r="BB59" s="94">
        <v>0</v>
      </c>
    </row>
    <row r="60" spans="1:54" x14ac:dyDescent="0.25">
      <c r="A60" s="96"/>
      <c r="B60" s="102"/>
      <c r="C60" s="102"/>
      <c r="D60" s="102"/>
      <c r="E60" s="102"/>
      <c r="F60" s="102"/>
      <c r="G60" s="102"/>
      <c r="H60" s="102"/>
      <c r="I60" s="103"/>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c r="AO60" s="102"/>
      <c r="AP60" s="102"/>
      <c r="AQ60" s="102"/>
      <c r="AR60" s="102"/>
      <c r="AS60" s="102"/>
      <c r="AT60" s="102"/>
      <c r="AU60" s="102"/>
      <c r="AV60" s="102"/>
      <c r="AW60" s="102"/>
      <c r="AX60" s="102"/>
      <c r="AY60" s="102"/>
      <c r="AZ60" s="102"/>
      <c r="BA60" s="102"/>
      <c r="BB60" s="103"/>
    </row>
    <row r="61" spans="1:54" s="105" customFormat="1" x14ac:dyDescent="0.25">
      <c r="A61" s="104"/>
      <c r="B61" s="92" t="s">
        <v>737</v>
      </c>
      <c r="C61" s="92">
        <f t="shared" ref="C61:BA61" si="1">SUM(C5:C59)</f>
        <v>1</v>
      </c>
      <c r="D61" s="92">
        <f t="shared" si="1"/>
        <v>1</v>
      </c>
      <c r="E61" s="92">
        <f t="shared" si="1"/>
        <v>0.99999999999999989</v>
      </c>
      <c r="F61" s="92">
        <f t="shared" si="1"/>
        <v>1</v>
      </c>
      <c r="G61" s="92">
        <f t="shared" si="1"/>
        <v>1</v>
      </c>
      <c r="H61" s="92">
        <f t="shared" si="1"/>
        <v>1.0002142857142859</v>
      </c>
      <c r="I61" s="92">
        <f t="shared" si="1"/>
        <v>1.0000000000000011</v>
      </c>
      <c r="J61" s="92">
        <f t="shared" si="1"/>
        <v>0.99996057724036846</v>
      </c>
      <c r="K61" s="92">
        <f t="shared" si="1"/>
        <v>1</v>
      </c>
      <c r="L61" s="92">
        <f t="shared" si="1"/>
        <v>1.0001438138842147</v>
      </c>
      <c r="M61" s="92">
        <f t="shared" si="1"/>
        <v>0.99970000000000014</v>
      </c>
      <c r="N61" s="92">
        <f t="shared" si="1"/>
        <v>1</v>
      </c>
      <c r="O61" s="92">
        <f t="shared" si="1"/>
        <v>1</v>
      </c>
      <c r="P61" s="92">
        <f t="shared" si="1"/>
        <v>1</v>
      </c>
      <c r="Q61" s="92">
        <f t="shared" si="1"/>
        <v>1.000248888888889</v>
      </c>
      <c r="R61" s="92">
        <f t="shared" si="1"/>
        <v>1.0000000000000002</v>
      </c>
      <c r="S61" s="92">
        <f t="shared" si="1"/>
        <v>1</v>
      </c>
      <c r="T61" s="92">
        <f t="shared" si="1"/>
        <v>1</v>
      </c>
      <c r="U61" s="92">
        <f t="shared" si="1"/>
        <v>1.0000000000000007</v>
      </c>
      <c r="V61" s="92">
        <f t="shared" si="1"/>
        <v>1.0000000000000004</v>
      </c>
      <c r="W61" s="92">
        <f t="shared" si="1"/>
        <v>0.99999999999999978</v>
      </c>
      <c r="X61" s="92">
        <f t="shared" si="1"/>
        <v>0.99999999999999989</v>
      </c>
      <c r="Y61" s="92">
        <f>SUM(Y5:Y59)</f>
        <v>1</v>
      </c>
      <c r="Z61" s="92">
        <f>SUM(Z5:Z59)</f>
        <v>0.99744999999999928</v>
      </c>
      <c r="AA61" s="92">
        <f>SUM(AA5:AA59)</f>
        <v>0.99992907092907157</v>
      </c>
      <c r="AB61" s="92">
        <f t="shared" si="1"/>
        <v>0.99999999999999933</v>
      </c>
      <c r="AC61" s="92">
        <f t="shared" si="1"/>
        <v>1.0002999999999997</v>
      </c>
      <c r="AD61" s="92">
        <f t="shared" si="1"/>
        <v>1</v>
      </c>
      <c r="AE61" s="92">
        <f>SUM(AE5:AE59)</f>
        <v>0.99957226222222284</v>
      </c>
      <c r="AF61" s="92">
        <f>SUM(AF5:AF59)</f>
        <v>1.0004996498599446</v>
      </c>
      <c r="AG61" s="92">
        <f t="shared" si="1"/>
        <v>0.99999726818181822</v>
      </c>
      <c r="AH61" s="92">
        <f t="shared" si="1"/>
        <v>0.99999300000000002</v>
      </c>
      <c r="AI61" s="92">
        <f>SUM(AI5:AI59)</f>
        <v>0.99902987692307699</v>
      </c>
      <c r="AJ61" s="92">
        <f t="shared" si="1"/>
        <v>1.0000000000000002</v>
      </c>
      <c r="AK61" s="92">
        <f t="shared" si="1"/>
        <v>1</v>
      </c>
      <c r="AL61" s="92">
        <f t="shared" si="1"/>
        <v>1.0004285714285712</v>
      </c>
      <c r="AM61" s="92">
        <f t="shared" si="1"/>
        <v>1.0000033333333338</v>
      </c>
      <c r="AN61" s="92">
        <f t="shared" si="1"/>
        <v>1</v>
      </c>
      <c r="AO61" s="92">
        <f t="shared" si="1"/>
        <v>1</v>
      </c>
      <c r="AP61" s="92">
        <f t="shared" si="1"/>
        <v>1</v>
      </c>
      <c r="AQ61" s="92">
        <f t="shared" si="1"/>
        <v>1</v>
      </c>
      <c r="AR61" s="92">
        <f t="shared" si="1"/>
        <v>0.9999983333333331</v>
      </c>
      <c r="AS61" s="92">
        <f t="shared" si="1"/>
        <v>0.99998750000000003</v>
      </c>
      <c r="AT61" s="92">
        <f t="shared" si="1"/>
        <v>1</v>
      </c>
      <c r="AU61" s="92">
        <f>SUM(AU5:AU59)</f>
        <v>1</v>
      </c>
      <c r="AV61" s="92">
        <f t="shared" si="1"/>
        <v>0.99998816939999946</v>
      </c>
      <c r="AW61" s="92">
        <f t="shared" si="1"/>
        <v>1.0000000000000004</v>
      </c>
      <c r="AX61" s="92">
        <f t="shared" si="1"/>
        <v>1.0000000000000002</v>
      </c>
      <c r="AY61" s="92">
        <f t="shared" si="1"/>
        <v>0</v>
      </c>
      <c r="AZ61" s="92">
        <f t="shared" si="1"/>
        <v>0</v>
      </c>
      <c r="BA61" s="92">
        <f t="shared" si="1"/>
        <v>0</v>
      </c>
      <c r="BB61" s="92">
        <f>SUM(BB5:BB60)</f>
        <v>0</v>
      </c>
    </row>
  </sheetData>
  <mergeCells count="1">
    <mergeCell ref="A1:BB1"/>
  </mergeCells>
  <conditionalFormatting sqref="A1:XFD1048576">
    <cfRule type="cellIs" dxfId="12" priority="1" operator="equal">
      <formula>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tabSelected="1" zoomScale="80" zoomScaleNormal="80" workbookViewId="0">
      <pane ySplit="3" topLeftCell="A37" activePane="bottomLeft" state="frozen"/>
      <selection pane="bottomLeft" activeCell="E45" sqref="E45"/>
    </sheetView>
  </sheetViews>
  <sheetFormatPr defaultColWidth="41.140625" defaultRowHeight="21.75" customHeight="1" x14ac:dyDescent="0.25"/>
  <cols>
    <col min="1" max="1" width="10.140625" style="12" customWidth="1"/>
    <col min="2" max="2" width="29.140625" style="12" customWidth="1"/>
    <col min="3" max="3" width="73.28515625" style="12" customWidth="1"/>
    <col min="4" max="4" width="41.140625" style="12"/>
    <col min="5" max="5" width="215" style="12" customWidth="1"/>
    <col min="6" max="16384" width="41.140625" style="12"/>
  </cols>
  <sheetData>
    <row r="1" spans="1:5" ht="21.75" customHeight="1" x14ac:dyDescent="0.25">
      <c r="A1" s="441" t="s">
        <v>3067</v>
      </c>
      <c r="B1" s="441"/>
      <c r="C1" s="441"/>
      <c r="D1" s="441"/>
      <c r="E1" s="441"/>
    </row>
    <row r="2" spans="1:5" ht="21.75" customHeight="1" thickBot="1" x14ac:dyDescent="0.3">
      <c r="A2" s="442"/>
      <c r="B2" s="442"/>
      <c r="C2" s="442"/>
      <c r="D2" s="442"/>
      <c r="E2" s="442"/>
    </row>
    <row r="3" spans="1:5" ht="21.75" customHeight="1" thickBot="1" x14ac:dyDescent="0.3">
      <c r="A3" s="49" t="s">
        <v>345</v>
      </c>
      <c r="B3" s="50" t="s">
        <v>382</v>
      </c>
      <c r="C3" s="51" t="s">
        <v>383</v>
      </c>
      <c r="D3" s="50" t="s">
        <v>384</v>
      </c>
      <c r="E3" s="51" t="s">
        <v>385</v>
      </c>
    </row>
    <row r="4" spans="1:5" ht="21.75" customHeight="1" x14ac:dyDescent="0.25">
      <c r="A4" s="52">
        <v>3</v>
      </c>
      <c r="B4" s="39" t="s">
        <v>387</v>
      </c>
      <c r="C4" s="53"/>
      <c r="D4" s="39"/>
      <c r="E4" s="53" t="s">
        <v>386</v>
      </c>
    </row>
    <row r="5" spans="1:5" ht="21.75" customHeight="1" x14ac:dyDescent="0.25">
      <c r="A5" s="52">
        <v>4</v>
      </c>
      <c r="B5" s="39" t="s">
        <v>17</v>
      </c>
      <c r="C5" s="54" t="s">
        <v>388</v>
      </c>
      <c r="D5" s="39" t="s">
        <v>389</v>
      </c>
      <c r="E5" s="53" t="s">
        <v>3024</v>
      </c>
    </row>
    <row r="6" spans="1:5" ht="21.75" customHeight="1" x14ac:dyDescent="0.25">
      <c r="A6" s="52">
        <v>5</v>
      </c>
      <c r="B6" s="39" t="s">
        <v>73</v>
      </c>
      <c r="C6" s="54" t="s">
        <v>390</v>
      </c>
      <c r="D6" s="39" t="s">
        <v>389</v>
      </c>
      <c r="E6" s="53" t="s">
        <v>3025</v>
      </c>
    </row>
    <row r="7" spans="1:5" ht="31.5" customHeight="1" x14ac:dyDescent="0.25">
      <c r="A7" s="52">
        <v>6</v>
      </c>
      <c r="B7" s="39" t="s">
        <v>27</v>
      </c>
      <c r="C7" s="54" t="s">
        <v>391</v>
      </c>
      <c r="D7" s="39" t="s">
        <v>389</v>
      </c>
      <c r="E7" s="53" t="s">
        <v>3022</v>
      </c>
    </row>
    <row r="8" spans="1:5" ht="21.75" customHeight="1" x14ac:dyDescent="0.25">
      <c r="A8" s="52">
        <v>7</v>
      </c>
      <c r="B8" s="39" t="s">
        <v>5</v>
      </c>
      <c r="C8" s="53"/>
      <c r="D8" s="39" t="s">
        <v>392</v>
      </c>
      <c r="E8" s="53" t="s">
        <v>386</v>
      </c>
    </row>
    <row r="9" spans="1:5" ht="21.75" customHeight="1" x14ac:dyDescent="0.25">
      <c r="A9" s="52">
        <v>8</v>
      </c>
      <c r="B9" s="39" t="s">
        <v>7</v>
      </c>
      <c r="C9" s="54" t="s">
        <v>2872</v>
      </c>
      <c r="D9" s="39" t="s">
        <v>393</v>
      </c>
      <c r="E9" s="12" t="s">
        <v>394</v>
      </c>
    </row>
    <row r="10" spans="1:5" ht="21.75" customHeight="1" x14ac:dyDescent="0.25">
      <c r="A10" s="52">
        <v>9</v>
      </c>
      <c r="B10" s="39" t="s">
        <v>395</v>
      </c>
      <c r="C10" s="54" t="s">
        <v>396</v>
      </c>
      <c r="D10" s="39" t="s">
        <v>397</v>
      </c>
      <c r="E10" s="53" t="s">
        <v>3026</v>
      </c>
    </row>
    <row r="11" spans="1:5" ht="21.75" customHeight="1" x14ac:dyDescent="0.25">
      <c r="A11" s="52">
        <v>10</v>
      </c>
      <c r="B11" s="39" t="s">
        <v>354</v>
      </c>
      <c r="C11" s="54" t="s">
        <v>492</v>
      </c>
      <c r="D11" s="39" t="s">
        <v>389</v>
      </c>
      <c r="E11" s="53" t="s">
        <v>3140</v>
      </c>
    </row>
    <row r="12" spans="1:5" ht="21.75" customHeight="1" x14ac:dyDescent="0.25">
      <c r="A12" s="52">
        <v>11</v>
      </c>
      <c r="B12" s="39" t="s">
        <v>398</v>
      </c>
      <c r="C12" s="53" t="s">
        <v>399</v>
      </c>
      <c r="D12" s="39" t="s">
        <v>389</v>
      </c>
      <c r="E12" s="53" t="s">
        <v>400</v>
      </c>
    </row>
    <row r="13" spans="1:5" ht="63" customHeight="1" x14ac:dyDescent="0.25">
      <c r="A13" s="52">
        <v>12</v>
      </c>
      <c r="B13" s="39" t="s">
        <v>84</v>
      </c>
      <c r="C13" s="54" t="s">
        <v>493</v>
      </c>
      <c r="D13" s="39" t="s">
        <v>389</v>
      </c>
      <c r="E13" s="53" t="s">
        <v>3027</v>
      </c>
    </row>
    <row r="14" spans="1:5" ht="21.75" customHeight="1" x14ac:dyDescent="0.25">
      <c r="A14" s="52">
        <v>13</v>
      </c>
      <c r="B14" s="39" t="s">
        <v>401</v>
      </c>
      <c r="C14" s="54" t="s">
        <v>402</v>
      </c>
      <c r="D14" s="39" t="s">
        <v>403</v>
      </c>
      <c r="E14" s="12" t="s">
        <v>404</v>
      </c>
    </row>
    <row r="15" spans="1:5" ht="21.75" customHeight="1" x14ac:dyDescent="0.25">
      <c r="A15" s="52">
        <v>14</v>
      </c>
      <c r="B15" s="39" t="s">
        <v>405</v>
      </c>
      <c r="C15" s="54" t="s">
        <v>406</v>
      </c>
      <c r="D15" s="39" t="s">
        <v>407</v>
      </c>
      <c r="E15" s="12" t="s">
        <v>408</v>
      </c>
    </row>
    <row r="16" spans="1:5" ht="21.75" customHeight="1" x14ac:dyDescent="0.25">
      <c r="A16" s="52">
        <v>15</v>
      </c>
      <c r="B16" s="39" t="s">
        <v>409</v>
      </c>
      <c r="C16" s="54" t="s">
        <v>2873</v>
      </c>
      <c r="D16" s="39" t="s">
        <v>407</v>
      </c>
      <c r="E16" s="12" t="s">
        <v>410</v>
      </c>
    </row>
    <row r="17" spans="1:5" ht="21.75" customHeight="1" x14ac:dyDescent="0.25">
      <c r="A17" s="52">
        <v>16</v>
      </c>
      <c r="B17" s="39" t="s">
        <v>411</v>
      </c>
      <c r="C17" s="54" t="s">
        <v>412</v>
      </c>
      <c r="D17" s="39" t="s">
        <v>413</v>
      </c>
      <c r="E17" s="12" t="s">
        <v>414</v>
      </c>
    </row>
    <row r="18" spans="1:5" ht="21.75" customHeight="1" x14ac:dyDescent="0.25">
      <c r="A18" s="52">
        <v>17</v>
      </c>
      <c r="B18" s="39" t="s">
        <v>415</v>
      </c>
      <c r="C18" s="54" t="s">
        <v>416</v>
      </c>
      <c r="D18" s="39" t="s">
        <v>417</v>
      </c>
      <c r="E18" s="12" t="s">
        <v>2874</v>
      </c>
    </row>
    <row r="19" spans="1:5" ht="21.75" customHeight="1" x14ac:dyDescent="0.25">
      <c r="A19" s="52">
        <v>18</v>
      </c>
      <c r="B19" s="39" t="s">
        <v>355</v>
      </c>
      <c r="C19" s="54" t="s">
        <v>418</v>
      </c>
      <c r="D19" s="39" t="s">
        <v>419</v>
      </c>
      <c r="E19" s="78" t="s">
        <v>3028</v>
      </c>
    </row>
    <row r="20" spans="1:5" ht="21.75" customHeight="1" x14ac:dyDescent="0.25">
      <c r="A20" s="52">
        <v>19</v>
      </c>
      <c r="B20" s="39" t="s">
        <v>420</v>
      </c>
      <c r="C20" s="54" t="s">
        <v>421</v>
      </c>
      <c r="D20" s="39" t="s">
        <v>422</v>
      </c>
      <c r="E20" s="78" t="s">
        <v>423</v>
      </c>
    </row>
    <row r="21" spans="1:5" ht="21.75" customHeight="1" x14ac:dyDescent="0.25">
      <c r="A21" s="52">
        <v>20</v>
      </c>
      <c r="B21" s="39" t="s">
        <v>424</v>
      </c>
      <c r="C21" s="54" t="s">
        <v>425</v>
      </c>
      <c r="D21" s="39" t="s">
        <v>426</v>
      </c>
      <c r="E21" s="78" t="s">
        <v>2835</v>
      </c>
    </row>
    <row r="22" spans="1:5" ht="21.75" customHeight="1" x14ac:dyDescent="0.25">
      <c r="A22" s="52">
        <v>21</v>
      </c>
      <c r="B22" s="39" t="s">
        <v>427</v>
      </c>
      <c r="C22" s="54" t="s">
        <v>428</v>
      </c>
      <c r="D22" s="39" t="s">
        <v>429</v>
      </c>
      <c r="E22" s="78" t="s">
        <v>2875</v>
      </c>
    </row>
    <row r="23" spans="1:5" ht="21.75" customHeight="1" x14ac:dyDescent="0.25">
      <c r="A23" s="52">
        <v>22</v>
      </c>
      <c r="B23" s="39" t="s">
        <v>430</v>
      </c>
      <c r="C23" s="54" t="s">
        <v>431</v>
      </c>
      <c r="D23" s="39" t="s">
        <v>413</v>
      </c>
      <c r="E23" s="78" t="s">
        <v>432</v>
      </c>
    </row>
    <row r="24" spans="1:5" ht="21.75" customHeight="1" x14ac:dyDescent="0.25">
      <c r="A24" s="52">
        <v>23</v>
      </c>
      <c r="B24" s="39" t="s">
        <v>433</v>
      </c>
      <c r="C24" s="54" t="s">
        <v>434</v>
      </c>
      <c r="D24" s="39" t="s">
        <v>407</v>
      </c>
      <c r="E24" s="78" t="s">
        <v>435</v>
      </c>
    </row>
    <row r="25" spans="1:5" ht="21.75" customHeight="1" x14ac:dyDescent="0.25">
      <c r="A25" s="52">
        <v>24</v>
      </c>
      <c r="B25" s="39" t="s">
        <v>436</v>
      </c>
      <c r="C25" s="54" t="s">
        <v>437</v>
      </c>
      <c r="D25" s="39" t="s">
        <v>413</v>
      </c>
      <c r="E25" s="78" t="s">
        <v>2876</v>
      </c>
    </row>
    <row r="26" spans="1:5" ht="21.75" customHeight="1" x14ac:dyDescent="0.25">
      <c r="A26" s="52">
        <v>25</v>
      </c>
      <c r="B26" s="39" t="s">
        <v>438</v>
      </c>
      <c r="C26" s="54" t="s">
        <v>439</v>
      </c>
      <c r="D26" s="39" t="s">
        <v>440</v>
      </c>
      <c r="E26" s="78" t="s">
        <v>441</v>
      </c>
    </row>
    <row r="27" spans="1:5" ht="40.5" customHeight="1" x14ac:dyDescent="0.25">
      <c r="A27" s="52">
        <v>26</v>
      </c>
      <c r="B27" s="39" t="s">
        <v>442</v>
      </c>
      <c r="C27" s="54" t="s">
        <v>443</v>
      </c>
      <c r="D27" s="53" t="s">
        <v>2836</v>
      </c>
      <c r="E27" s="78" t="s">
        <v>3045</v>
      </c>
    </row>
    <row r="28" spans="1:5" ht="21.75" customHeight="1" x14ac:dyDescent="0.25">
      <c r="A28" s="52">
        <v>27</v>
      </c>
      <c r="B28" s="39" t="s">
        <v>444</v>
      </c>
      <c r="C28" s="54" t="s">
        <v>445</v>
      </c>
      <c r="D28" s="39" t="s">
        <v>446</v>
      </c>
      <c r="E28" s="78" t="s">
        <v>2837</v>
      </c>
    </row>
    <row r="29" spans="1:5" ht="21.75" customHeight="1" x14ac:dyDescent="0.25">
      <c r="A29" s="52">
        <v>28</v>
      </c>
      <c r="B29" s="39" t="s">
        <v>447</v>
      </c>
      <c r="C29" s="54" t="s">
        <v>448</v>
      </c>
      <c r="D29" s="39" t="s">
        <v>413</v>
      </c>
      <c r="E29" s="78" t="s">
        <v>449</v>
      </c>
    </row>
    <row r="30" spans="1:5" ht="21.75" customHeight="1" x14ac:dyDescent="0.25">
      <c r="A30" s="52">
        <v>29</v>
      </c>
      <c r="B30" s="39" t="s">
        <v>450</v>
      </c>
      <c r="C30" s="54" t="s">
        <v>451</v>
      </c>
      <c r="D30" s="39" t="s">
        <v>446</v>
      </c>
      <c r="E30" s="78" t="s">
        <v>452</v>
      </c>
    </row>
    <row r="31" spans="1:5" ht="21.75" customHeight="1" x14ac:dyDescent="0.25">
      <c r="A31" s="52">
        <v>30</v>
      </c>
      <c r="B31" s="39" t="s">
        <v>453</v>
      </c>
      <c r="C31" s="54" t="s">
        <v>454</v>
      </c>
      <c r="D31" s="39" t="s">
        <v>407</v>
      </c>
      <c r="E31" s="78" t="s">
        <v>455</v>
      </c>
    </row>
    <row r="32" spans="1:5" ht="38.25" customHeight="1" x14ac:dyDescent="0.25">
      <c r="A32" s="52">
        <v>31</v>
      </c>
      <c r="B32" s="39" t="s">
        <v>456</v>
      </c>
      <c r="C32" s="54" t="s">
        <v>457</v>
      </c>
      <c r="D32" s="39" t="s">
        <v>440</v>
      </c>
      <c r="E32" s="78" t="s">
        <v>458</v>
      </c>
    </row>
    <row r="33" spans="1:5" ht="42.75" customHeight="1" x14ac:dyDescent="0.25">
      <c r="A33" s="52">
        <v>32</v>
      </c>
      <c r="B33" s="39" t="s">
        <v>459</v>
      </c>
      <c r="C33" s="54" t="s">
        <v>460</v>
      </c>
      <c r="D33" s="39" t="s">
        <v>440</v>
      </c>
      <c r="E33" s="78" t="s">
        <v>2877</v>
      </c>
    </row>
    <row r="34" spans="1:5" ht="56.25" customHeight="1" x14ac:dyDescent="0.25">
      <c r="A34" s="52">
        <v>33</v>
      </c>
      <c r="B34" s="39" t="s">
        <v>461</v>
      </c>
      <c r="C34" s="54" t="s">
        <v>462</v>
      </c>
      <c r="D34" s="39" t="s">
        <v>440</v>
      </c>
      <c r="E34" s="400" t="s">
        <v>3029</v>
      </c>
    </row>
    <row r="35" spans="1:5" ht="22.5" customHeight="1" x14ac:dyDescent="0.25">
      <c r="A35" s="52">
        <v>34</v>
      </c>
      <c r="B35" s="39" t="s">
        <v>463</v>
      </c>
      <c r="C35" s="54" t="s">
        <v>464</v>
      </c>
      <c r="D35" s="39" t="s">
        <v>407</v>
      </c>
      <c r="E35" s="78" t="s">
        <v>465</v>
      </c>
    </row>
    <row r="36" spans="1:5" s="405" customFormat="1" ht="25.5" customHeight="1" x14ac:dyDescent="0.25">
      <c r="A36" s="401">
        <v>35</v>
      </c>
      <c r="B36" s="402" t="s">
        <v>100</v>
      </c>
      <c r="C36" s="403" t="s">
        <v>466</v>
      </c>
      <c r="D36" s="402" t="s">
        <v>397</v>
      </c>
      <c r="E36" s="404" t="s">
        <v>3030</v>
      </c>
    </row>
    <row r="37" spans="1:5" ht="21.75" customHeight="1" x14ac:dyDescent="0.25">
      <c r="A37" s="52">
        <v>36</v>
      </c>
      <c r="B37" s="39" t="s">
        <v>467</v>
      </c>
      <c r="C37" s="54" t="s">
        <v>468</v>
      </c>
      <c r="D37" s="39" t="s">
        <v>389</v>
      </c>
      <c r="E37" s="53" t="s">
        <v>3022</v>
      </c>
    </row>
    <row r="38" spans="1:5" ht="21.75" customHeight="1" x14ac:dyDescent="0.25">
      <c r="A38" s="52">
        <v>37</v>
      </c>
      <c r="B38" s="39" t="s">
        <v>469</v>
      </c>
      <c r="C38" s="54" t="s">
        <v>494</v>
      </c>
      <c r="D38" s="39" t="s">
        <v>397</v>
      </c>
      <c r="E38" s="53" t="s">
        <v>3023</v>
      </c>
    </row>
    <row r="39" spans="1:5" ht="21.75" customHeight="1" x14ac:dyDescent="0.25">
      <c r="A39" s="52">
        <v>38</v>
      </c>
      <c r="B39" s="39" t="s">
        <v>470</v>
      </c>
      <c r="C39" s="53" t="s">
        <v>495</v>
      </c>
      <c r="D39" s="39" t="s">
        <v>397</v>
      </c>
      <c r="E39" s="53" t="s">
        <v>3031</v>
      </c>
    </row>
    <row r="40" spans="1:5" ht="21.75" customHeight="1" x14ac:dyDescent="0.25">
      <c r="A40" s="52">
        <v>39</v>
      </c>
      <c r="B40" s="39" t="s">
        <v>471</v>
      </c>
      <c r="C40" s="54" t="s">
        <v>472</v>
      </c>
      <c r="D40" s="39" t="s">
        <v>389</v>
      </c>
      <c r="E40" s="53" t="s">
        <v>3032</v>
      </c>
    </row>
    <row r="41" spans="1:5" ht="56.25" customHeight="1" x14ac:dyDescent="0.25">
      <c r="A41" s="52">
        <v>40</v>
      </c>
      <c r="B41" s="39" t="s">
        <v>473</v>
      </c>
      <c r="C41" s="54" t="s">
        <v>496</v>
      </c>
      <c r="D41" s="39" t="s">
        <v>474</v>
      </c>
      <c r="E41" s="53" t="s">
        <v>3033</v>
      </c>
    </row>
    <row r="42" spans="1:5" ht="21.75" customHeight="1" x14ac:dyDescent="0.25">
      <c r="A42" s="52">
        <v>41</v>
      </c>
      <c r="B42" s="39" t="s">
        <v>475</v>
      </c>
      <c r="C42" s="54" t="s">
        <v>476</v>
      </c>
      <c r="D42" s="39" t="s">
        <v>2827</v>
      </c>
      <c r="E42" s="53" t="s">
        <v>3034</v>
      </c>
    </row>
    <row r="43" spans="1:5" ht="21.75" customHeight="1" x14ac:dyDescent="0.25">
      <c r="A43" s="52">
        <v>42</v>
      </c>
      <c r="B43" s="39" t="s">
        <v>477</v>
      </c>
      <c r="C43" s="54" t="s">
        <v>478</v>
      </c>
      <c r="D43" s="39" t="s">
        <v>389</v>
      </c>
      <c r="E43" s="53" t="s">
        <v>3035</v>
      </c>
    </row>
    <row r="44" spans="1:5" ht="21.75" customHeight="1" x14ac:dyDescent="0.25">
      <c r="A44" s="52">
        <v>43</v>
      </c>
      <c r="B44" s="39" t="s">
        <v>479</v>
      </c>
      <c r="C44" s="54" t="s">
        <v>480</v>
      </c>
      <c r="D44" s="39" t="s">
        <v>389</v>
      </c>
      <c r="E44" s="53" t="s">
        <v>3036</v>
      </c>
    </row>
    <row r="45" spans="1:5" ht="21.75" customHeight="1" x14ac:dyDescent="0.25">
      <c r="A45" s="52">
        <v>44</v>
      </c>
      <c r="B45" s="39" t="s">
        <v>481</v>
      </c>
      <c r="C45" s="54" t="s">
        <v>482</v>
      </c>
      <c r="D45" s="39" t="s">
        <v>389</v>
      </c>
      <c r="E45" s="53" t="s">
        <v>3141</v>
      </c>
    </row>
    <row r="46" spans="1:5" ht="21.75" customHeight="1" x14ac:dyDescent="0.25">
      <c r="A46" s="52">
        <v>45</v>
      </c>
      <c r="B46" s="39" t="s">
        <v>483</v>
      </c>
      <c r="C46" s="54" t="s">
        <v>484</v>
      </c>
      <c r="D46" s="39" t="s">
        <v>397</v>
      </c>
      <c r="E46" s="53" t="s">
        <v>3037</v>
      </c>
    </row>
    <row r="47" spans="1:5" ht="21.75" customHeight="1" x14ac:dyDescent="0.25">
      <c r="A47" s="52">
        <v>46</v>
      </c>
      <c r="B47" s="39" t="s">
        <v>485</v>
      </c>
      <c r="C47" s="54" t="s">
        <v>486</v>
      </c>
      <c r="D47" s="39" t="s">
        <v>397</v>
      </c>
      <c r="E47" s="53" t="s">
        <v>3038</v>
      </c>
    </row>
    <row r="48" spans="1:5" ht="21.75" customHeight="1" x14ac:dyDescent="0.25">
      <c r="A48" s="52">
        <v>47</v>
      </c>
      <c r="B48" s="39" t="s">
        <v>487</v>
      </c>
      <c r="C48" s="54" t="s">
        <v>488</v>
      </c>
      <c r="D48" s="39" t="s">
        <v>407</v>
      </c>
      <c r="E48" s="53" t="s">
        <v>3039</v>
      </c>
    </row>
    <row r="49" spans="1:5" ht="39" customHeight="1" x14ac:dyDescent="0.25">
      <c r="A49" s="52">
        <v>48</v>
      </c>
      <c r="B49" s="39" t="s">
        <v>489</v>
      </c>
      <c r="C49" s="54" t="s">
        <v>490</v>
      </c>
      <c r="D49" s="39" t="s">
        <v>389</v>
      </c>
      <c r="E49" s="53" t="s">
        <v>3046</v>
      </c>
    </row>
    <row r="50" spans="1:5" ht="27" customHeight="1" x14ac:dyDescent="0.25">
      <c r="A50" s="52">
        <v>49</v>
      </c>
      <c r="B50" s="39" t="s">
        <v>356</v>
      </c>
      <c r="C50" s="54" t="s">
        <v>491</v>
      </c>
      <c r="D50" s="39" t="s">
        <v>389</v>
      </c>
      <c r="E50" s="53" t="s">
        <v>3040</v>
      </c>
    </row>
    <row r="51" spans="1:5" ht="21.75" customHeight="1" thickBot="1" x14ac:dyDescent="0.3">
      <c r="A51" s="55">
        <v>50</v>
      </c>
      <c r="B51" s="56" t="s">
        <v>357</v>
      </c>
      <c r="C51" s="57" t="s">
        <v>225</v>
      </c>
      <c r="D51" s="56" t="s">
        <v>389</v>
      </c>
      <c r="E51" s="58" t="s">
        <v>3040</v>
      </c>
    </row>
  </sheetData>
  <mergeCells count="1">
    <mergeCell ref="A1:E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workbookViewId="0">
      <selection activeCell="A21" sqref="A21"/>
    </sheetView>
  </sheetViews>
  <sheetFormatPr defaultRowHeight="15" x14ac:dyDescent="0.25"/>
  <cols>
    <col min="1" max="1" width="26.28515625" customWidth="1"/>
    <col min="3" max="3" width="11.140625" customWidth="1"/>
    <col min="4" max="4" width="3.42578125" customWidth="1"/>
    <col min="6" max="6" width="11.42578125" customWidth="1"/>
    <col min="7" max="7" width="3.85546875" customWidth="1"/>
    <col min="9" max="9" width="19.140625" customWidth="1"/>
  </cols>
  <sheetData>
    <row r="1" spans="1:9" ht="23.25" customHeight="1" x14ac:dyDescent="0.25">
      <c r="A1" s="78" t="s">
        <v>3068</v>
      </c>
      <c r="B1" s="20"/>
      <c r="C1" s="20"/>
      <c r="D1" s="20"/>
      <c r="E1" s="20"/>
      <c r="F1" s="20"/>
      <c r="G1" s="20"/>
      <c r="H1" s="20"/>
      <c r="I1" s="20"/>
    </row>
    <row r="2" spans="1:9" ht="15.75" thickBot="1" x14ac:dyDescent="0.3">
      <c r="A2" s="20"/>
      <c r="B2" s="20"/>
      <c r="C2" s="20"/>
      <c r="D2" s="20"/>
      <c r="E2" s="20"/>
      <c r="F2" s="20"/>
      <c r="G2" s="20"/>
      <c r="H2" s="20"/>
      <c r="I2" s="20"/>
    </row>
    <row r="3" spans="1:9" ht="18.75" thickBot="1" x14ac:dyDescent="0.3">
      <c r="A3" s="75" t="s">
        <v>382</v>
      </c>
      <c r="B3" s="443" t="s">
        <v>669</v>
      </c>
      <c r="C3" s="443"/>
      <c r="D3" s="45"/>
      <c r="E3" s="443" t="s">
        <v>670</v>
      </c>
      <c r="F3" s="443"/>
      <c r="G3" s="45"/>
      <c r="H3" s="443" t="s">
        <v>671</v>
      </c>
      <c r="I3" s="443"/>
    </row>
    <row r="4" spans="1:9" ht="15.75" thickBot="1" x14ac:dyDescent="0.3">
      <c r="A4" s="22"/>
      <c r="B4" s="61" t="s">
        <v>672</v>
      </c>
      <c r="C4" s="59" t="s">
        <v>673</v>
      </c>
      <c r="D4" s="46"/>
      <c r="E4" s="61" t="s">
        <v>672</v>
      </c>
      <c r="F4" s="59" t="s">
        <v>673</v>
      </c>
      <c r="G4" s="46"/>
      <c r="H4" s="61" t="s">
        <v>672</v>
      </c>
      <c r="I4" s="59" t="s">
        <v>674</v>
      </c>
    </row>
    <row r="5" spans="1:9" x14ac:dyDescent="0.25">
      <c r="A5" s="60" t="s">
        <v>353</v>
      </c>
      <c r="B5" s="60">
        <v>0</v>
      </c>
      <c r="C5" s="60">
        <v>0</v>
      </c>
      <c r="D5" s="47"/>
      <c r="E5" s="60">
        <v>0</v>
      </c>
      <c r="F5" s="60">
        <v>1</v>
      </c>
      <c r="G5" s="47"/>
      <c r="H5" s="60">
        <v>1</v>
      </c>
      <c r="I5" s="60">
        <v>0</v>
      </c>
    </row>
    <row r="6" spans="1:9" x14ac:dyDescent="0.25">
      <c r="A6" s="60" t="s">
        <v>675</v>
      </c>
      <c r="B6" s="60">
        <v>0</v>
      </c>
      <c r="C6" s="60">
        <v>0</v>
      </c>
      <c r="D6" s="47"/>
      <c r="E6" s="60">
        <v>0.25</v>
      </c>
      <c r="F6" s="60">
        <v>0.75</v>
      </c>
      <c r="G6" s="47"/>
      <c r="H6" s="60">
        <v>0.5</v>
      </c>
      <c r="I6" s="60">
        <v>0.5</v>
      </c>
    </row>
    <row r="7" spans="1:9" x14ac:dyDescent="0.25">
      <c r="A7" s="60" t="s">
        <v>676</v>
      </c>
      <c r="B7" s="60">
        <v>1</v>
      </c>
      <c r="C7" s="60">
        <v>0</v>
      </c>
      <c r="D7" s="47"/>
      <c r="E7" s="60">
        <v>1</v>
      </c>
      <c r="F7" s="60">
        <v>0</v>
      </c>
      <c r="G7" s="47"/>
      <c r="H7" s="60">
        <v>1</v>
      </c>
      <c r="I7" s="60">
        <v>0</v>
      </c>
    </row>
    <row r="8" spans="1:9" x14ac:dyDescent="0.25">
      <c r="A8" s="60" t="s">
        <v>677</v>
      </c>
      <c r="B8" s="60">
        <v>0</v>
      </c>
      <c r="C8" s="60">
        <v>1</v>
      </c>
      <c r="D8" s="47"/>
      <c r="E8" s="60">
        <v>0</v>
      </c>
      <c r="F8" s="60">
        <v>1</v>
      </c>
      <c r="G8" s="47"/>
      <c r="H8" s="60">
        <v>0.5</v>
      </c>
      <c r="I8" s="60">
        <v>0.5</v>
      </c>
    </row>
    <row r="9" spans="1:9" x14ac:dyDescent="0.25">
      <c r="A9" s="60" t="s">
        <v>73</v>
      </c>
      <c r="B9" s="60">
        <v>0</v>
      </c>
      <c r="C9" s="60">
        <v>1</v>
      </c>
      <c r="D9" s="47"/>
      <c r="E9" s="60">
        <v>0</v>
      </c>
      <c r="F9" s="60">
        <v>1</v>
      </c>
      <c r="G9" s="47"/>
      <c r="H9" s="60">
        <v>0.5</v>
      </c>
      <c r="I9" s="60">
        <v>0.5</v>
      </c>
    </row>
    <row r="10" spans="1:9" x14ac:dyDescent="0.25">
      <c r="A10" s="60" t="s">
        <v>1</v>
      </c>
      <c r="B10" s="60">
        <v>0</v>
      </c>
      <c r="C10" s="60">
        <v>1</v>
      </c>
      <c r="D10" s="47"/>
      <c r="E10" s="60">
        <v>0</v>
      </c>
      <c r="F10" s="60">
        <v>1</v>
      </c>
      <c r="G10" s="47"/>
      <c r="H10" s="60">
        <v>0.5</v>
      </c>
      <c r="I10" s="60">
        <v>0.5</v>
      </c>
    </row>
    <row r="11" spans="1:9" x14ac:dyDescent="0.25">
      <c r="A11" s="60" t="s">
        <v>27</v>
      </c>
      <c r="B11" s="60">
        <v>0</v>
      </c>
      <c r="C11" s="60">
        <v>1</v>
      </c>
      <c r="D11" s="47"/>
      <c r="E11" s="60">
        <v>0</v>
      </c>
      <c r="F11" s="60">
        <v>1</v>
      </c>
      <c r="G11" s="47"/>
      <c r="H11" s="60">
        <v>0.5</v>
      </c>
      <c r="I11" s="60">
        <v>0.5</v>
      </c>
    </row>
    <row r="12" spans="1:9" x14ac:dyDescent="0.25">
      <c r="A12" s="60" t="s">
        <v>7</v>
      </c>
      <c r="B12" s="60">
        <v>0</v>
      </c>
      <c r="C12" s="60">
        <v>1</v>
      </c>
      <c r="D12" s="47"/>
      <c r="E12" s="60">
        <v>0</v>
      </c>
      <c r="F12" s="60">
        <v>1</v>
      </c>
      <c r="G12" s="47"/>
      <c r="H12" s="60">
        <v>0.5</v>
      </c>
      <c r="I12" s="60">
        <v>0.5</v>
      </c>
    </row>
    <row r="13" spans="1:9" x14ac:dyDescent="0.25">
      <c r="A13" s="60" t="s">
        <v>395</v>
      </c>
      <c r="B13" s="60">
        <v>0</v>
      </c>
      <c r="C13" s="60">
        <v>1</v>
      </c>
      <c r="D13" s="47"/>
      <c r="E13" s="60">
        <v>0</v>
      </c>
      <c r="F13" s="60">
        <v>1</v>
      </c>
      <c r="G13" s="47"/>
      <c r="H13" s="60">
        <v>0</v>
      </c>
      <c r="I13" s="60">
        <v>1</v>
      </c>
    </row>
    <row r="14" spans="1:9" x14ac:dyDescent="0.25">
      <c r="A14" s="60" t="s">
        <v>354</v>
      </c>
      <c r="B14" s="60">
        <v>0</v>
      </c>
      <c r="C14" s="60">
        <v>1</v>
      </c>
      <c r="D14" s="47"/>
      <c r="E14" s="60">
        <v>0</v>
      </c>
      <c r="F14" s="60">
        <v>1</v>
      </c>
      <c r="G14" s="47"/>
      <c r="H14" s="60">
        <v>0.5</v>
      </c>
      <c r="I14" s="60">
        <v>0.5</v>
      </c>
    </row>
    <row r="15" spans="1:9" x14ac:dyDescent="0.25">
      <c r="A15" s="60" t="s">
        <v>10</v>
      </c>
      <c r="B15" s="60">
        <v>0.5</v>
      </c>
      <c r="C15" s="60">
        <v>0.5</v>
      </c>
      <c r="D15" s="47"/>
      <c r="E15" s="60">
        <v>0.5</v>
      </c>
      <c r="F15" s="60">
        <v>0.5</v>
      </c>
      <c r="G15" s="47"/>
      <c r="H15" s="60">
        <v>0.5</v>
      </c>
      <c r="I15" s="60">
        <v>0.5</v>
      </c>
    </row>
    <row r="16" spans="1:9" x14ac:dyDescent="0.25">
      <c r="A16" s="60" t="s">
        <v>84</v>
      </c>
      <c r="B16" s="60">
        <v>0</v>
      </c>
      <c r="C16" s="60">
        <v>1</v>
      </c>
      <c r="D16" s="47"/>
      <c r="E16" s="60">
        <v>0</v>
      </c>
      <c r="F16" s="60">
        <v>1</v>
      </c>
      <c r="G16" s="47"/>
      <c r="H16" s="60">
        <v>0.5</v>
      </c>
      <c r="I16" s="60">
        <v>0.5</v>
      </c>
    </row>
    <row r="17" spans="1:9" x14ac:dyDescent="0.25">
      <c r="A17" s="60" t="s">
        <v>401</v>
      </c>
      <c r="B17" s="60">
        <v>0</v>
      </c>
      <c r="C17" s="60">
        <v>1</v>
      </c>
      <c r="D17" s="47"/>
      <c r="E17" s="60">
        <v>0</v>
      </c>
      <c r="F17" s="60">
        <v>1</v>
      </c>
      <c r="G17" s="47"/>
      <c r="H17" s="60">
        <v>1</v>
      </c>
      <c r="I17" s="60">
        <v>0</v>
      </c>
    </row>
    <row r="18" spans="1:9" x14ac:dyDescent="0.25">
      <c r="A18" s="60" t="s">
        <v>405</v>
      </c>
      <c r="B18" s="60">
        <v>0</v>
      </c>
      <c r="C18" s="60">
        <v>1</v>
      </c>
      <c r="D18" s="47"/>
      <c r="E18" s="60">
        <v>0</v>
      </c>
      <c r="F18" s="60">
        <v>1</v>
      </c>
      <c r="G18" s="47"/>
      <c r="H18" s="60">
        <v>0.75</v>
      </c>
      <c r="I18" s="60">
        <v>0.25</v>
      </c>
    </row>
    <row r="19" spans="1:9" x14ac:dyDescent="0.25">
      <c r="A19" s="60" t="s">
        <v>409</v>
      </c>
      <c r="B19" s="60">
        <v>0</v>
      </c>
      <c r="C19" s="60">
        <v>1</v>
      </c>
      <c r="D19" s="47"/>
      <c r="E19" s="60">
        <v>0</v>
      </c>
      <c r="F19" s="60">
        <v>1</v>
      </c>
      <c r="G19" s="47"/>
      <c r="H19" s="60">
        <v>0.75</v>
      </c>
      <c r="I19" s="60">
        <v>0.25</v>
      </c>
    </row>
    <row r="20" spans="1:9" x14ac:dyDescent="0.25">
      <c r="A20" s="60" t="s">
        <v>411</v>
      </c>
      <c r="B20" s="60">
        <v>0</v>
      </c>
      <c r="C20" s="60">
        <v>1</v>
      </c>
      <c r="D20" s="47"/>
      <c r="E20" s="60">
        <v>0</v>
      </c>
      <c r="F20" s="60">
        <v>1</v>
      </c>
      <c r="G20" s="47"/>
      <c r="H20" s="60">
        <v>0.1</v>
      </c>
      <c r="I20" s="60">
        <v>0.9</v>
      </c>
    </row>
    <row r="21" spans="1:9" x14ac:dyDescent="0.25">
      <c r="A21" s="60" t="s">
        <v>415</v>
      </c>
      <c r="B21" s="60">
        <v>0</v>
      </c>
      <c r="C21" s="60">
        <v>1</v>
      </c>
      <c r="D21" s="47"/>
      <c r="E21" s="60">
        <v>0</v>
      </c>
      <c r="F21" s="60">
        <v>1</v>
      </c>
      <c r="G21" s="47"/>
      <c r="H21" s="60">
        <v>1</v>
      </c>
      <c r="I21" s="60">
        <v>0</v>
      </c>
    </row>
    <row r="22" spans="1:9" x14ac:dyDescent="0.25">
      <c r="A22" s="60" t="s">
        <v>355</v>
      </c>
      <c r="B22" s="60">
        <v>0</v>
      </c>
      <c r="C22" s="60">
        <v>1</v>
      </c>
      <c r="D22" s="47"/>
      <c r="E22" s="60">
        <v>0</v>
      </c>
      <c r="F22" s="60">
        <v>1</v>
      </c>
      <c r="G22" s="47"/>
      <c r="H22" s="60">
        <v>1</v>
      </c>
      <c r="I22" s="60">
        <v>0</v>
      </c>
    </row>
    <row r="23" spans="1:9" x14ac:dyDescent="0.25">
      <c r="A23" s="60" t="s">
        <v>546</v>
      </c>
      <c r="B23" s="60">
        <v>0</v>
      </c>
      <c r="C23" s="60">
        <v>1</v>
      </c>
      <c r="D23" s="47"/>
      <c r="E23" s="60">
        <v>0</v>
      </c>
      <c r="F23" s="60">
        <v>1</v>
      </c>
      <c r="G23" s="47"/>
      <c r="H23" s="60">
        <v>0.33</v>
      </c>
      <c r="I23" s="60">
        <v>0.67</v>
      </c>
    </row>
    <row r="24" spans="1:9" x14ac:dyDescent="0.25">
      <c r="A24" s="60" t="s">
        <v>424</v>
      </c>
      <c r="B24" s="60">
        <v>0</v>
      </c>
      <c r="C24" s="60">
        <v>1</v>
      </c>
      <c r="D24" s="47"/>
      <c r="E24" s="60">
        <v>0</v>
      </c>
      <c r="F24" s="60">
        <v>1</v>
      </c>
      <c r="G24" s="47"/>
      <c r="H24" s="60">
        <v>0.33</v>
      </c>
      <c r="I24" s="60">
        <v>0.67</v>
      </c>
    </row>
    <row r="25" spans="1:9" x14ac:dyDescent="0.25">
      <c r="A25" s="60" t="s">
        <v>678</v>
      </c>
      <c r="B25" s="60">
        <v>0</v>
      </c>
      <c r="C25" s="60">
        <v>1</v>
      </c>
      <c r="D25" s="47"/>
      <c r="E25" s="60">
        <v>0</v>
      </c>
      <c r="F25" s="60">
        <v>1</v>
      </c>
      <c r="G25" s="47"/>
      <c r="H25" s="60">
        <v>0.25</v>
      </c>
      <c r="I25" s="60">
        <v>0.75</v>
      </c>
    </row>
    <row r="26" spans="1:9" x14ac:dyDescent="0.25">
      <c r="A26" s="60" t="s">
        <v>556</v>
      </c>
      <c r="B26" s="60">
        <v>0</v>
      </c>
      <c r="C26" s="60">
        <v>1</v>
      </c>
      <c r="D26" s="47"/>
      <c r="E26" s="60">
        <v>0</v>
      </c>
      <c r="F26" s="60">
        <v>1</v>
      </c>
      <c r="G26" s="47"/>
      <c r="H26" s="60">
        <v>0.25</v>
      </c>
      <c r="I26" s="60">
        <v>0.75</v>
      </c>
    </row>
    <row r="27" spans="1:9" x14ac:dyDescent="0.25">
      <c r="A27" s="60" t="s">
        <v>433</v>
      </c>
      <c r="B27" s="60">
        <v>0</v>
      </c>
      <c r="C27" s="60">
        <v>1</v>
      </c>
      <c r="D27" s="47"/>
      <c r="E27" s="60">
        <v>0</v>
      </c>
      <c r="F27" s="60">
        <v>1</v>
      </c>
      <c r="G27" s="47"/>
      <c r="H27" s="60">
        <v>1</v>
      </c>
      <c r="I27" s="60">
        <v>0</v>
      </c>
    </row>
    <row r="28" spans="1:9" x14ac:dyDescent="0.25">
      <c r="A28" s="60" t="s">
        <v>436</v>
      </c>
      <c r="B28" s="60">
        <v>0</v>
      </c>
      <c r="C28" s="60">
        <v>1</v>
      </c>
      <c r="D28" s="47"/>
      <c r="E28" s="60">
        <v>0</v>
      </c>
      <c r="F28" s="60">
        <v>1</v>
      </c>
      <c r="G28" s="47"/>
      <c r="H28" s="60">
        <v>0.25</v>
      </c>
      <c r="I28" s="60">
        <v>0.75</v>
      </c>
    </row>
    <row r="29" spans="1:9" x14ac:dyDescent="0.25">
      <c r="A29" s="60" t="s">
        <v>438</v>
      </c>
      <c r="B29" s="60">
        <v>0</v>
      </c>
      <c r="C29" s="60">
        <v>1</v>
      </c>
      <c r="D29" s="47"/>
      <c r="E29" s="60">
        <v>0</v>
      </c>
      <c r="F29" s="60">
        <v>1</v>
      </c>
      <c r="G29" s="47"/>
      <c r="H29" s="60">
        <v>0.25</v>
      </c>
      <c r="I29" s="60">
        <v>0.75</v>
      </c>
    </row>
    <row r="30" spans="1:9" x14ac:dyDescent="0.25">
      <c r="A30" s="76" t="s">
        <v>442</v>
      </c>
      <c r="B30" s="76">
        <v>0</v>
      </c>
      <c r="C30" s="76">
        <v>1</v>
      </c>
      <c r="D30" s="77"/>
      <c r="E30" s="76">
        <v>0</v>
      </c>
      <c r="F30" s="76">
        <v>1</v>
      </c>
      <c r="G30" s="77"/>
      <c r="H30" s="76">
        <v>1</v>
      </c>
      <c r="I30" s="76">
        <v>0</v>
      </c>
    </row>
    <row r="31" spans="1:9" x14ac:dyDescent="0.25">
      <c r="A31" s="76" t="s">
        <v>444</v>
      </c>
      <c r="B31" s="76">
        <v>0</v>
      </c>
      <c r="C31" s="76">
        <v>1</v>
      </c>
      <c r="D31" s="77"/>
      <c r="E31" s="76">
        <v>0</v>
      </c>
      <c r="F31" s="76">
        <v>1</v>
      </c>
      <c r="G31" s="77"/>
      <c r="H31" s="76">
        <v>1</v>
      </c>
      <c r="I31" s="76">
        <v>0</v>
      </c>
    </row>
    <row r="32" spans="1:9" x14ac:dyDescent="0.25">
      <c r="A32" s="76" t="s">
        <v>447</v>
      </c>
      <c r="B32" s="76">
        <v>0</v>
      </c>
      <c r="C32" s="76">
        <v>1</v>
      </c>
      <c r="D32" s="77"/>
      <c r="E32" s="76">
        <v>0</v>
      </c>
      <c r="F32" s="76">
        <v>1</v>
      </c>
      <c r="G32" s="77"/>
      <c r="H32" s="76">
        <v>1</v>
      </c>
      <c r="I32" s="76">
        <v>0</v>
      </c>
    </row>
    <row r="33" spans="1:9" x14ac:dyDescent="0.25">
      <c r="A33" s="76" t="s">
        <v>450</v>
      </c>
      <c r="B33" s="76">
        <v>0</v>
      </c>
      <c r="C33" s="76">
        <v>1</v>
      </c>
      <c r="D33" s="77"/>
      <c r="E33" s="76">
        <v>0</v>
      </c>
      <c r="F33" s="76">
        <v>1</v>
      </c>
      <c r="G33" s="77"/>
      <c r="H33" s="76">
        <v>0.33</v>
      </c>
      <c r="I33" s="76">
        <v>0.67</v>
      </c>
    </row>
    <row r="34" spans="1:9" x14ac:dyDescent="0.25">
      <c r="A34" s="60" t="s">
        <v>453</v>
      </c>
      <c r="B34" s="60">
        <v>0</v>
      </c>
      <c r="C34" s="60">
        <v>1</v>
      </c>
      <c r="D34" s="47"/>
      <c r="E34" s="60">
        <v>0</v>
      </c>
      <c r="F34" s="60">
        <v>1</v>
      </c>
      <c r="G34" s="47"/>
      <c r="H34" s="60">
        <v>0.25</v>
      </c>
      <c r="I34" s="60">
        <v>0.75</v>
      </c>
    </row>
    <row r="35" spans="1:9" x14ac:dyDescent="0.25">
      <c r="A35" s="60" t="s">
        <v>456</v>
      </c>
      <c r="B35" s="60">
        <v>0</v>
      </c>
      <c r="C35" s="60">
        <v>1</v>
      </c>
      <c r="D35" s="47"/>
      <c r="E35" s="60">
        <v>0</v>
      </c>
      <c r="F35" s="60">
        <v>1</v>
      </c>
      <c r="G35" s="47"/>
      <c r="H35" s="60">
        <v>1</v>
      </c>
      <c r="I35" s="60">
        <v>0</v>
      </c>
    </row>
    <row r="36" spans="1:9" x14ac:dyDescent="0.25">
      <c r="A36" s="60" t="s">
        <v>459</v>
      </c>
      <c r="B36" s="60">
        <v>0</v>
      </c>
      <c r="C36" s="60">
        <v>1</v>
      </c>
      <c r="D36" s="47"/>
      <c r="E36" s="60">
        <v>0</v>
      </c>
      <c r="F36" s="60">
        <v>1</v>
      </c>
      <c r="G36" s="47"/>
      <c r="H36" s="60">
        <v>1</v>
      </c>
      <c r="I36" s="60">
        <v>0</v>
      </c>
    </row>
    <row r="37" spans="1:9" x14ac:dyDescent="0.25">
      <c r="A37" s="60" t="s">
        <v>461</v>
      </c>
      <c r="B37" s="60">
        <v>0</v>
      </c>
      <c r="C37" s="60">
        <v>1</v>
      </c>
      <c r="D37" s="47"/>
      <c r="E37" s="60">
        <v>0</v>
      </c>
      <c r="F37" s="60">
        <v>1</v>
      </c>
      <c r="G37" s="47"/>
      <c r="H37" s="60">
        <v>0.25</v>
      </c>
      <c r="I37" s="60">
        <v>0.75</v>
      </c>
    </row>
    <row r="38" spans="1:9" x14ac:dyDescent="0.25">
      <c r="A38" s="60" t="s">
        <v>463</v>
      </c>
      <c r="B38" s="60">
        <v>0</v>
      </c>
      <c r="C38" s="60">
        <v>1</v>
      </c>
      <c r="D38" s="47"/>
      <c r="E38" s="60">
        <v>0</v>
      </c>
      <c r="F38" s="60">
        <v>1</v>
      </c>
      <c r="G38" s="47"/>
      <c r="H38" s="60">
        <v>0.25</v>
      </c>
      <c r="I38" s="60">
        <v>0.75</v>
      </c>
    </row>
    <row r="39" spans="1:9" x14ac:dyDescent="0.25">
      <c r="A39" s="60" t="s">
        <v>100</v>
      </c>
      <c r="B39" s="60">
        <v>0</v>
      </c>
      <c r="C39" s="60">
        <v>1</v>
      </c>
      <c r="D39" s="47"/>
      <c r="E39" s="60">
        <v>0</v>
      </c>
      <c r="F39" s="60">
        <v>1</v>
      </c>
      <c r="G39" s="47"/>
      <c r="H39" s="60">
        <v>1</v>
      </c>
      <c r="I39" s="60">
        <v>0</v>
      </c>
    </row>
    <row r="40" spans="1:9" x14ac:dyDescent="0.25">
      <c r="A40" s="60" t="s">
        <v>467</v>
      </c>
      <c r="B40" s="60">
        <v>0</v>
      </c>
      <c r="C40" s="60">
        <v>1</v>
      </c>
      <c r="D40" s="47"/>
      <c r="E40" s="60">
        <v>0</v>
      </c>
      <c r="F40" s="60">
        <v>1</v>
      </c>
      <c r="G40" s="47"/>
      <c r="H40" s="60">
        <v>0.25</v>
      </c>
      <c r="I40" s="60">
        <v>0.75</v>
      </c>
    </row>
    <row r="41" spans="1:9" x14ac:dyDescent="0.25">
      <c r="A41" s="60" t="s">
        <v>469</v>
      </c>
      <c r="B41" s="60">
        <v>0</v>
      </c>
      <c r="C41" s="60">
        <v>1</v>
      </c>
      <c r="D41" s="47"/>
      <c r="E41" s="60">
        <v>0</v>
      </c>
      <c r="F41" s="60">
        <v>1</v>
      </c>
      <c r="G41" s="47"/>
      <c r="H41" s="60">
        <v>0</v>
      </c>
      <c r="I41" s="60">
        <v>1</v>
      </c>
    </row>
    <row r="42" spans="1:9" x14ac:dyDescent="0.25">
      <c r="A42" s="60" t="s">
        <v>470</v>
      </c>
      <c r="B42" s="60">
        <v>0</v>
      </c>
      <c r="C42" s="60">
        <v>1</v>
      </c>
      <c r="D42" s="47"/>
      <c r="E42" s="60">
        <v>0</v>
      </c>
      <c r="F42" s="60">
        <v>1</v>
      </c>
      <c r="G42" s="47"/>
      <c r="H42" s="60">
        <v>0</v>
      </c>
      <c r="I42" s="60">
        <v>1</v>
      </c>
    </row>
    <row r="43" spans="1:9" x14ac:dyDescent="0.25">
      <c r="A43" s="60" t="s">
        <v>471</v>
      </c>
      <c r="B43" s="60">
        <v>0</v>
      </c>
      <c r="C43" s="60">
        <v>1</v>
      </c>
      <c r="D43" s="47"/>
      <c r="E43" s="60">
        <v>0</v>
      </c>
      <c r="F43" s="60">
        <v>1</v>
      </c>
      <c r="G43" s="47"/>
      <c r="H43" s="60">
        <v>0</v>
      </c>
      <c r="I43" s="60">
        <v>1</v>
      </c>
    </row>
    <row r="44" spans="1:9" x14ac:dyDescent="0.25">
      <c r="A44" s="60" t="s">
        <v>473</v>
      </c>
      <c r="B44" s="60">
        <v>0</v>
      </c>
      <c r="C44" s="60">
        <v>1</v>
      </c>
      <c r="D44" s="47"/>
      <c r="E44" s="60">
        <v>0</v>
      </c>
      <c r="F44" s="60">
        <v>1</v>
      </c>
      <c r="G44" s="47"/>
      <c r="H44" s="60">
        <v>0</v>
      </c>
      <c r="I44" s="60">
        <v>1</v>
      </c>
    </row>
    <row r="45" spans="1:9" x14ac:dyDescent="0.25">
      <c r="A45" s="60" t="s">
        <v>475</v>
      </c>
      <c r="B45" s="60">
        <v>0</v>
      </c>
      <c r="C45" s="60">
        <v>1</v>
      </c>
      <c r="D45" s="47"/>
      <c r="E45" s="60">
        <v>0</v>
      </c>
      <c r="F45" s="60">
        <v>1</v>
      </c>
      <c r="G45" s="47"/>
      <c r="H45" s="60">
        <v>1</v>
      </c>
      <c r="I45" s="60">
        <v>0</v>
      </c>
    </row>
    <row r="46" spans="1:9" x14ac:dyDescent="0.25">
      <c r="A46" s="60" t="s">
        <v>477</v>
      </c>
      <c r="B46" s="60">
        <v>0</v>
      </c>
      <c r="C46" s="60">
        <v>1</v>
      </c>
      <c r="D46" s="47"/>
      <c r="E46" s="60">
        <v>0</v>
      </c>
      <c r="F46" s="60">
        <v>1</v>
      </c>
      <c r="G46" s="47"/>
      <c r="H46" s="60">
        <v>1</v>
      </c>
      <c r="I46" s="60">
        <v>0</v>
      </c>
    </row>
    <row r="47" spans="1:9" x14ac:dyDescent="0.25">
      <c r="A47" s="60" t="s">
        <v>479</v>
      </c>
      <c r="B47" s="60">
        <v>0</v>
      </c>
      <c r="C47" s="60">
        <v>1</v>
      </c>
      <c r="D47" s="47"/>
      <c r="E47" s="60">
        <v>0</v>
      </c>
      <c r="F47" s="60">
        <v>1</v>
      </c>
      <c r="G47" s="47"/>
      <c r="H47" s="60">
        <v>1</v>
      </c>
      <c r="I47" s="60">
        <v>0</v>
      </c>
    </row>
    <row r="48" spans="1:9" x14ac:dyDescent="0.25">
      <c r="A48" s="60" t="s">
        <v>481</v>
      </c>
      <c r="B48" s="60">
        <v>0</v>
      </c>
      <c r="C48" s="60">
        <v>1</v>
      </c>
      <c r="D48" s="47"/>
      <c r="E48" s="60">
        <v>0</v>
      </c>
      <c r="F48" s="60">
        <v>1</v>
      </c>
      <c r="G48" s="47"/>
      <c r="H48" s="60">
        <v>1</v>
      </c>
      <c r="I48" s="60">
        <v>0</v>
      </c>
    </row>
    <row r="49" spans="1:9" x14ac:dyDescent="0.25">
      <c r="A49" s="60" t="s">
        <v>483</v>
      </c>
      <c r="B49" s="60">
        <v>0</v>
      </c>
      <c r="C49" s="60">
        <v>1</v>
      </c>
      <c r="D49" s="47"/>
      <c r="E49" s="60">
        <v>0</v>
      </c>
      <c r="F49" s="60">
        <v>1</v>
      </c>
      <c r="G49" s="47"/>
      <c r="H49" s="60">
        <v>1</v>
      </c>
      <c r="I49" s="60">
        <v>0</v>
      </c>
    </row>
    <row r="50" spans="1:9" x14ac:dyDescent="0.25">
      <c r="A50" s="60" t="s">
        <v>638</v>
      </c>
      <c r="B50" s="60">
        <v>0</v>
      </c>
      <c r="C50" s="60">
        <v>1</v>
      </c>
      <c r="D50" s="47"/>
      <c r="E50" s="60">
        <v>0</v>
      </c>
      <c r="F50" s="60">
        <v>1</v>
      </c>
      <c r="G50" s="47"/>
      <c r="H50" s="60">
        <v>1</v>
      </c>
      <c r="I50" s="60">
        <v>0</v>
      </c>
    </row>
    <row r="51" spans="1:9" x14ac:dyDescent="0.25">
      <c r="A51" s="60" t="s">
        <v>487</v>
      </c>
      <c r="B51" s="60">
        <v>0</v>
      </c>
      <c r="C51" s="60">
        <v>1</v>
      </c>
      <c r="D51" s="47"/>
      <c r="E51" s="60">
        <v>0</v>
      </c>
      <c r="F51" s="60">
        <v>1</v>
      </c>
      <c r="G51" s="47"/>
      <c r="H51" s="60">
        <v>1</v>
      </c>
      <c r="I51" s="60">
        <v>0</v>
      </c>
    </row>
    <row r="52" spans="1:9" x14ac:dyDescent="0.25">
      <c r="A52" s="60" t="s">
        <v>489</v>
      </c>
      <c r="B52" s="60">
        <v>1</v>
      </c>
      <c r="C52" s="60">
        <v>0</v>
      </c>
      <c r="D52" s="47"/>
      <c r="E52" s="60">
        <v>0</v>
      </c>
      <c r="F52" s="60">
        <v>1</v>
      </c>
      <c r="G52" s="47"/>
      <c r="H52" s="60">
        <v>1</v>
      </c>
      <c r="I52" s="60">
        <v>0</v>
      </c>
    </row>
    <row r="53" spans="1:9" x14ac:dyDescent="0.25">
      <c r="A53" s="60" t="s">
        <v>356</v>
      </c>
      <c r="B53" s="60">
        <v>1</v>
      </c>
      <c r="C53" s="60">
        <v>0</v>
      </c>
      <c r="D53" s="47"/>
      <c r="E53" s="60">
        <v>0</v>
      </c>
      <c r="F53" s="60">
        <v>1</v>
      </c>
      <c r="G53" s="47"/>
      <c r="H53" s="60">
        <v>1</v>
      </c>
      <c r="I53" s="60">
        <v>0</v>
      </c>
    </row>
    <row r="54" spans="1:9" x14ac:dyDescent="0.25">
      <c r="A54" s="60" t="s">
        <v>357</v>
      </c>
      <c r="B54" s="60">
        <v>1</v>
      </c>
      <c r="C54" s="60">
        <v>0</v>
      </c>
      <c r="D54" s="47"/>
      <c r="E54" s="60">
        <v>0</v>
      </c>
      <c r="F54" s="60">
        <v>1</v>
      </c>
      <c r="G54" s="47"/>
      <c r="H54" s="60">
        <v>1</v>
      </c>
      <c r="I54" s="60">
        <v>0</v>
      </c>
    </row>
    <row r="55" spans="1:9" x14ac:dyDescent="0.25">
      <c r="A55" s="60" t="s">
        <v>679</v>
      </c>
      <c r="B55" s="60">
        <v>0</v>
      </c>
      <c r="C55" s="60">
        <v>1</v>
      </c>
      <c r="D55" s="47"/>
      <c r="E55" s="60">
        <v>0</v>
      </c>
      <c r="F55" s="60">
        <v>1</v>
      </c>
      <c r="G55" s="47"/>
      <c r="H55" s="60">
        <v>1</v>
      </c>
      <c r="I55" s="60">
        <v>0</v>
      </c>
    </row>
    <row r="56" spans="1:9" x14ac:dyDescent="0.25">
      <c r="A56" s="60" t="s">
        <v>5</v>
      </c>
      <c r="B56" s="60">
        <v>0</v>
      </c>
      <c r="C56" s="60">
        <v>0</v>
      </c>
      <c r="D56" s="47"/>
      <c r="E56" s="60">
        <v>0</v>
      </c>
      <c r="F56" s="60">
        <v>1</v>
      </c>
      <c r="G56" s="47"/>
      <c r="H56" s="60">
        <v>0</v>
      </c>
      <c r="I56" s="60">
        <v>1</v>
      </c>
    </row>
    <row r="57" spans="1:9" x14ac:dyDescent="0.25">
      <c r="A57" s="60" t="s">
        <v>680</v>
      </c>
      <c r="B57" s="60">
        <v>0</v>
      </c>
      <c r="C57" s="60">
        <v>0</v>
      </c>
      <c r="D57" s="47"/>
      <c r="E57" s="60">
        <v>0.1</v>
      </c>
      <c r="F57" s="60">
        <v>0.9</v>
      </c>
      <c r="G57" s="47"/>
      <c r="H57" s="60">
        <v>0.1</v>
      </c>
      <c r="I57" s="60">
        <v>0.9</v>
      </c>
    </row>
    <row r="58" spans="1:9" x14ac:dyDescent="0.25">
      <c r="A58" s="60" t="s">
        <v>681</v>
      </c>
      <c r="B58" s="60">
        <v>0</v>
      </c>
      <c r="C58" s="60">
        <v>0</v>
      </c>
      <c r="D58" s="47"/>
      <c r="E58" s="60">
        <v>0</v>
      </c>
      <c r="F58" s="60">
        <v>1</v>
      </c>
      <c r="G58" s="47"/>
      <c r="H58" s="60">
        <v>0</v>
      </c>
      <c r="I58" s="60">
        <v>1</v>
      </c>
    </row>
    <row r="59" spans="1:9" x14ac:dyDescent="0.25">
      <c r="A59" s="60" t="s">
        <v>682</v>
      </c>
      <c r="B59" s="60">
        <v>0</v>
      </c>
      <c r="C59" s="60">
        <v>1</v>
      </c>
      <c r="D59" s="47"/>
      <c r="E59" s="60">
        <v>0</v>
      </c>
      <c r="F59" s="60">
        <v>0</v>
      </c>
      <c r="G59" s="47"/>
      <c r="H59" s="60">
        <v>0</v>
      </c>
      <c r="I59" s="60">
        <v>0</v>
      </c>
    </row>
    <row r="60" spans="1:9" ht="15.75" thickBot="1" x14ac:dyDescent="0.3">
      <c r="A60" s="61" t="s">
        <v>683</v>
      </c>
      <c r="B60" s="61">
        <v>0</v>
      </c>
      <c r="C60" s="61">
        <v>1</v>
      </c>
      <c r="D60" s="46"/>
      <c r="E60" s="61">
        <v>0</v>
      </c>
      <c r="F60" s="61">
        <v>0</v>
      </c>
      <c r="G60" s="46"/>
      <c r="H60" s="61">
        <v>0</v>
      </c>
      <c r="I60" s="61">
        <v>0</v>
      </c>
    </row>
  </sheetData>
  <mergeCells count="3">
    <mergeCell ref="B3:C3"/>
    <mergeCell ref="E3:F3"/>
    <mergeCell ref="H3:I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workbookViewId="0">
      <selection activeCell="M4" sqref="M4"/>
    </sheetView>
  </sheetViews>
  <sheetFormatPr defaultColWidth="9.140625" defaultRowHeight="15" x14ac:dyDescent="0.25"/>
  <cols>
    <col min="1" max="1" width="9.140625" style="362"/>
    <col min="2" max="2" width="22.7109375" style="6" bestFit="1" customWidth="1"/>
    <col min="3" max="3" width="9.140625" style="362"/>
    <col min="4" max="4" width="15.7109375" style="6" bestFit="1" customWidth="1"/>
    <col min="5" max="16384" width="9.140625" style="6"/>
  </cols>
  <sheetData>
    <row r="1" spans="1:8" x14ac:dyDescent="0.25">
      <c r="A1" s="444" t="s">
        <v>3069</v>
      </c>
      <c r="B1" s="444"/>
      <c r="C1" s="444"/>
      <c r="D1" s="444"/>
      <c r="E1" s="444"/>
      <c r="F1" s="444"/>
      <c r="G1" s="444"/>
      <c r="H1" s="444"/>
    </row>
    <row r="2" spans="1:8" ht="65.25" customHeight="1" x14ac:dyDescent="0.25">
      <c r="A2" s="445"/>
      <c r="B2" s="445"/>
      <c r="C2" s="445"/>
      <c r="D2" s="445"/>
      <c r="E2" s="445"/>
      <c r="F2" s="445"/>
      <c r="G2" s="445"/>
      <c r="H2" s="445"/>
    </row>
    <row r="3" spans="1:8" ht="22.5" customHeight="1" x14ac:dyDescent="0.25">
      <c r="A3" s="364" t="s">
        <v>345</v>
      </c>
      <c r="B3" s="365" t="s">
        <v>2937</v>
      </c>
      <c r="C3" s="364" t="s">
        <v>2952</v>
      </c>
      <c r="D3" s="364" t="s">
        <v>2938</v>
      </c>
      <c r="E3" s="366" t="s">
        <v>2949</v>
      </c>
      <c r="F3" s="366" t="s">
        <v>2950</v>
      </c>
      <c r="G3" s="366" t="s">
        <v>2951</v>
      </c>
      <c r="H3" s="366" t="s">
        <v>350</v>
      </c>
    </row>
    <row r="4" spans="1:8" x14ac:dyDescent="0.25">
      <c r="A4" s="96">
        <v>1</v>
      </c>
      <c r="B4" s="361" t="s">
        <v>353</v>
      </c>
      <c r="C4" s="367">
        <v>0.995</v>
      </c>
      <c r="D4" s="368">
        <v>1.51265812702237</v>
      </c>
      <c r="E4" s="369">
        <v>0</v>
      </c>
      <c r="F4" s="369">
        <v>0</v>
      </c>
      <c r="G4" s="369">
        <v>0</v>
      </c>
      <c r="H4" s="369">
        <v>0</v>
      </c>
    </row>
    <row r="5" spans="1:8" x14ac:dyDescent="0.25">
      <c r="A5" s="96">
        <v>2</v>
      </c>
      <c r="B5" s="267" t="s">
        <v>2953</v>
      </c>
      <c r="C5" s="367">
        <v>0.995</v>
      </c>
      <c r="D5" s="368">
        <v>0.2</v>
      </c>
      <c r="E5" s="369">
        <v>0.2</v>
      </c>
      <c r="F5" s="369">
        <v>0</v>
      </c>
      <c r="G5" s="369">
        <v>0</v>
      </c>
      <c r="H5" s="369">
        <v>0</v>
      </c>
    </row>
    <row r="6" spans="1:8" x14ac:dyDescent="0.25">
      <c r="A6" s="96">
        <v>3</v>
      </c>
      <c r="B6" s="267" t="s">
        <v>676</v>
      </c>
      <c r="C6" s="367">
        <v>0.995</v>
      </c>
      <c r="D6" s="368">
        <v>1.2652000000000001</v>
      </c>
      <c r="E6" s="369">
        <v>0.2</v>
      </c>
      <c r="F6" s="369">
        <v>0.2</v>
      </c>
      <c r="G6" s="369">
        <v>0</v>
      </c>
      <c r="H6" s="369">
        <v>0.1</v>
      </c>
    </row>
    <row r="7" spans="1:8" x14ac:dyDescent="0.25">
      <c r="A7" s="96">
        <v>4</v>
      </c>
      <c r="B7" s="267" t="s">
        <v>721</v>
      </c>
      <c r="C7" s="367">
        <v>0.995</v>
      </c>
      <c r="D7" s="368">
        <v>2.94009620152401</v>
      </c>
      <c r="E7" s="369">
        <v>0.5</v>
      </c>
      <c r="F7" s="369">
        <v>0</v>
      </c>
      <c r="G7" s="369">
        <v>0.5</v>
      </c>
      <c r="H7" s="369">
        <v>0.1</v>
      </c>
    </row>
    <row r="8" spans="1:8" x14ac:dyDescent="0.25">
      <c r="A8" s="96">
        <v>5</v>
      </c>
      <c r="B8" s="267" t="s">
        <v>722</v>
      </c>
      <c r="C8" s="367">
        <v>0.995</v>
      </c>
      <c r="D8" s="368">
        <v>0.2</v>
      </c>
      <c r="E8" s="369">
        <v>0.5</v>
      </c>
      <c r="F8" s="369">
        <v>0</v>
      </c>
      <c r="G8" s="369">
        <v>0.5</v>
      </c>
      <c r="H8" s="367">
        <v>0.1</v>
      </c>
    </row>
    <row r="9" spans="1:8" x14ac:dyDescent="0.25">
      <c r="A9" s="96">
        <v>6</v>
      </c>
      <c r="B9" s="267" t="s">
        <v>1</v>
      </c>
      <c r="C9" s="367">
        <v>0.995</v>
      </c>
      <c r="D9" s="370" t="s">
        <v>2939</v>
      </c>
      <c r="E9" s="369">
        <v>0.5</v>
      </c>
      <c r="F9" s="369">
        <v>0</v>
      </c>
      <c r="G9" s="369">
        <v>0.5</v>
      </c>
      <c r="H9" s="367">
        <v>0.1</v>
      </c>
    </row>
    <row r="10" spans="1:8" x14ac:dyDescent="0.25">
      <c r="A10" s="96">
        <v>7</v>
      </c>
      <c r="B10" s="267" t="s">
        <v>723</v>
      </c>
      <c r="C10" s="367">
        <v>0.995</v>
      </c>
      <c r="D10" s="370" t="s">
        <v>2940</v>
      </c>
      <c r="E10" s="369">
        <v>0.5</v>
      </c>
      <c r="F10" s="369">
        <v>0</v>
      </c>
      <c r="G10" s="369">
        <v>0.5</v>
      </c>
      <c r="H10" s="367">
        <v>0.1</v>
      </c>
    </row>
    <row r="11" spans="1:8" x14ac:dyDescent="0.25">
      <c r="A11" s="96">
        <v>8</v>
      </c>
      <c r="B11" s="267" t="s">
        <v>7</v>
      </c>
      <c r="C11" s="367">
        <v>0.995</v>
      </c>
      <c r="D11" s="370" t="s">
        <v>2941</v>
      </c>
      <c r="E11" s="369">
        <v>0.2</v>
      </c>
      <c r="F11" s="369">
        <v>0.7</v>
      </c>
      <c r="G11" s="369">
        <v>0.5</v>
      </c>
      <c r="H11" s="367">
        <v>0.1</v>
      </c>
    </row>
    <row r="12" spans="1:8" x14ac:dyDescent="0.25">
      <c r="A12" s="96">
        <v>9</v>
      </c>
      <c r="B12" s="267" t="s">
        <v>395</v>
      </c>
      <c r="C12" s="367">
        <v>0.995</v>
      </c>
      <c r="D12" s="368">
        <v>0.51369579109212504</v>
      </c>
      <c r="E12" s="369">
        <v>0.5</v>
      </c>
      <c r="F12" s="369">
        <v>0.2</v>
      </c>
      <c r="G12" s="369">
        <v>0</v>
      </c>
      <c r="H12" s="367">
        <v>0.1</v>
      </c>
    </row>
    <row r="13" spans="1:8" x14ac:dyDescent="0.25">
      <c r="A13" s="96">
        <v>10</v>
      </c>
      <c r="B13" s="267" t="s">
        <v>724</v>
      </c>
      <c r="C13" s="367">
        <v>0.995</v>
      </c>
      <c r="D13" s="370" t="s">
        <v>2942</v>
      </c>
      <c r="E13" s="369">
        <v>0.5</v>
      </c>
      <c r="F13" s="369">
        <v>1</v>
      </c>
      <c r="G13" s="369">
        <v>0</v>
      </c>
      <c r="H13" s="367">
        <v>0.2</v>
      </c>
    </row>
    <row r="14" spans="1:8" x14ac:dyDescent="0.25">
      <c r="A14" s="96">
        <v>11</v>
      </c>
      <c r="B14" s="267" t="s">
        <v>10</v>
      </c>
      <c r="C14" s="367">
        <v>0.995</v>
      </c>
      <c r="D14" s="368">
        <v>0.58571586597930303</v>
      </c>
      <c r="E14" s="369">
        <v>0.5</v>
      </c>
      <c r="F14" s="369">
        <v>0</v>
      </c>
      <c r="G14" s="369">
        <v>0.5</v>
      </c>
      <c r="H14" s="367">
        <v>0.1</v>
      </c>
    </row>
    <row r="15" spans="1:8" x14ac:dyDescent="0.25">
      <c r="A15" s="96">
        <v>12</v>
      </c>
      <c r="B15" s="267" t="s">
        <v>725</v>
      </c>
      <c r="C15" s="367">
        <v>0.995</v>
      </c>
      <c r="D15" s="368">
        <v>0.382530681199091</v>
      </c>
      <c r="E15" s="369">
        <v>1</v>
      </c>
      <c r="F15" s="369">
        <v>0</v>
      </c>
      <c r="G15" s="369">
        <v>0.5</v>
      </c>
      <c r="H15" s="367">
        <v>0.2</v>
      </c>
    </row>
    <row r="16" spans="1:8" x14ac:dyDescent="0.25">
      <c r="A16" s="96">
        <v>13</v>
      </c>
      <c r="B16" s="267" t="s">
        <v>401</v>
      </c>
      <c r="C16" s="367">
        <v>0.995</v>
      </c>
      <c r="D16" s="368">
        <v>0.97718064547162897</v>
      </c>
      <c r="E16" s="369">
        <v>0.7</v>
      </c>
      <c r="F16" s="369">
        <v>0</v>
      </c>
      <c r="G16" s="369">
        <v>0</v>
      </c>
      <c r="H16" s="367">
        <v>0.1</v>
      </c>
    </row>
    <row r="17" spans="1:8" x14ac:dyDescent="0.25">
      <c r="A17" s="96">
        <v>14</v>
      </c>
      <c r="B17" s="267" t="s">
        <v>405</v>
      </c>
      <c r="C17" s="367">
        <v>0.995</v>
      </c>
      <c r="D17" s="368">
        <v>1.02779162527296</v>
      </c>
      <c r="E17" s="369">
        <v>0.2</v>
      </c>
      <c r="F17" s="369">
        <v>0.2</v>
      </c>
      <c r="G17" s="369">
        <v>0</v>
      </c>
      <c r="H17" s="367">
        <v>0.2</v>
      </c>
    </row>
    <row r="18" spans="1:8" x14ac:dyDescent="0.25">
      <c r="A18" s="96">
        <v>15</v>
      </c>
      <c r="B18" s="267" t="s">
        <v>409</v>
      </c>
      <c r="C18" s="367">
        <v>0.995</v>
      </c>
      <c r="D18" s="368">
        <v>1.1458954348308401</v>
      </c>
      <c r="E18" s="369">
        <v>0.8</v>
      </c>
      <c r="F18" s="369">
        <v>0.8</v>
      </c>
      <c r="G18" s="369">
        <v>0</v>
      </c>
      <c r="H18" s="367">
        <v>0.2</v>
      </c>
    </row>
    <row r="19" spans="1:8" x14ac:dyDescent="0.25">
      <c r="A19" s="96">
        <v>16</v>
      </c>
      <c r="B19" s="267" t="s">
        <v>411</v>
      </c>
      <c r="C19" s="367">
        <v>0.995</v>
      </c>
      <c r="D19" s="371">
        <v>0</v>
      </c>
      <c r="E19" s="369">
        <v>0.7</v>
      </c>
      <c r="F19" s="369">
        <v>0.7</v>
      </c>
      <c r="G19" s="369">
        <v>0</v>
      </c>
      <c r="H19" s="367">
        <v>0.2</v>
      </c>
    </row>
    <row r="20" spans="1:8" x14ac:dyDescent="0.25">
      <c r="A20" s="96">
        <v>17</v>
      </c>
      <c r="B20" s="267" t="s">
        <v>415</v>
      </c>
      <c r="C20" s="367">
        <v>0.995</v>
      </c>
      <c r="D20" s="368">
        <v>1.0697742401000401</v>
      </c>
      <c r="E20" s="369">
        <v>0.2</v>
      </c>
      <c r="F20" s="369">
        <v>0.2</v>
      </c>
      <c r="G20" s="369">
        <v>0</v>
      </c>
      <c r="H20" s="367">
        <v>0.2</v>
      </c>
    </row>
    <row r="21" spans="1:8" x14ac:dyDescent="0.25">
      <c r="A21" s="96">
        <v>18</v>
      </c>
      <c r="B21" s="267" t="s">
        <v>355</v>
      </c>
      <c r="C21" s="367">
        <v>0.995</v>
      </c>
      <c r="D21" s="368">
        <v>1.6274173564268199</v>
      </c>
      <c r="E21" s="369">
        <v>0.6</v>
      </c>
      <c r="F21" s="369">
        <v>0.6</v>
      </c>
      <c r="G21" s="369">
        <v>0</v>
      </c>
      <c r="H21" s="367">
        <v>0.2</v>
      </c>
    </row>
    <row r="22" spans="1:8" x14ac:dyDescent="0.25">
      <c r="A22" s="96">
        <v>19</v>
      </c>
      <c r="B22" s="267" t="s">
        <v>546</v>
      </c>
      <c r="C22" s="367">
        <v>0.995</v>
      </c>
      <c r="D22" s="371">
        <v>0.5</v>
      </c>
      <c r="E22" s="369">
        <v>0.5</v>
      </c>
      <c r="F22" s="369">
        <v>0.2</v>
      </c>
      <c r="G22" s="369">
        <v>0</v>
      </c>
      <c r="H22" s="367">
        <v>0.2</v>
      </c>
    </row>
    <row r="23" spans="1:8" x14ac:dyDescent="0.25">
      <c r="A23" s="96">
        <v>20</v>
      </c>
      <c r="B23" s="267" t="s">
        <v>424</v>
      </c>
      <c r="C23" s="367">
        <v>0.995</v>
      </c>
      <c r="D23" s="368">
        <v>2.79318653592567</v>
      </c>
      <c r="E23" s="369">
        <v>0.2</v>
      </c>
      <c r="F23" s="369">
        <v>0.5</v>
      </c>
      <c r="G23" s="369">
        <v>0</v>
      </c>
      <c r="H23" s="367">
        <v>0.2</v>
      </c>
    </row>
    <row r="24" spans="1:8" x14ac:dyDescent="0.25">
      <c r="A24" s="96">
        <v>21</v>
      </c>
      <c r="B24" s="267" t="s">
        <v>427</v>
      </c>
      <c r="C24" s="367">
        <v>0.995</v>
      </c>
      <c r="D24" s="368">
        <v>0.85230320535956305</v>
      </c>
      <c r="E24" s="369">
        <v>0.2</v>
      </c>
      <c r="F24" s="369">
        <v>0.2</v>
      </c>
      <c r="G24" s="369">
        <v>0</v>
      </c>
      <c r="H24" s="367">
        <v>0.2</v>
      </c>
    </row>
    <row r="25" spans="1:8" x14ac:dyDescent="0.25">
      <c r="A25" s="96">
        <v>22</v>
      </c>
      <c r="B25" s="267" t="s">
        <v>556</v>
      </c>
      <c r="C25" s="367">
        <v>0.995</v>
      </c>
      <c r="D25" s="368">
        <v>1.6410246594040001</v>
      </c>
      <c r="E25" s="369">
        <v>0.2</v>
      </c>
      <c r="F25" s="369">
        <v>0.2</v>
      </c>
      <c r="G25" s="369">
        <v>0</v>
      </c>
      <c r="H25" s="367">
        <v>0.2</v>
      </c>
    </row>
    <row r="26" spans="1:8" x14ac:dyDescent="0.25">
      <c r="A26" s="96">
        <v>23</v>
      </c>
      <c r="B26" s="267" t="s">
        <v>433</v>
      </c>
      <c r="C26" s="367">
        <v>0.995</v>
      </c>
      <c r="D26" s="371">
        <v>0</v>
      </c>
      <c r="E26" s="369">
        <v>0</v>
      </c>
      <c r="F26" s="369">
        <v>0</v>
      </c>
      <c r="G26" s="369">
        <v>0</v>
      </c>
      <c r="H26" s="367">
        <v>0.1</v>
      </c>
    </row>
    <row r="27" spans="1:8" x14ac:dyDescent="0.25">
      <c r="A27" s="96">
        <v>24</v>
      </c>
      <c r="B27" s="267" t="s">
        <v>728</v>
      </c>
      <c r="C27" s="367">
        <v>0.995</v>
      </c>
      <c r="D27" s="368">
        <v>0.93256895613726898</v>
      </c>
      <c r="E27" s="369">
        <v>0.2</v>
      </c>
      <c r="F27" s="369">
        <v>0.5</v>
      </c>
      <c r="G27" s="369">
        <v>0</v>
      </c>
      <c r="H27" s="367">
        <v>0.2</v>
      </c>
    </row>
    <row r="28" spans="1:8" x14ac:dyDescent="0.25">
      <c r="A28" s="96">
        <v>25</v>
      </c>
      <c r="B28" s="267" t="s">
        <v>729</v>
      </c>
      <c r="C28" s="367">
        <v>0.995</v>
      </c>
      <c r="D28" s="371">
        <v>0</v>
      </c>
      <c r="E28" s="369">
        <v>0.2</v>
      </c>
      <c r="F28" s="369">
        <v>0.2</v>
      </c>
      <c r="G28" s="369">
        <v>0</v>
      </c>
      <c r="H28" s="367">
        <v>0.2</v>
      </c>
    </row>
    <row r="29" spans="1:8" x14ac:dyDescent="0.25">
      <c r="A29" s="96">
        <v>26</v>
      </c>
      <c r="B29" s="267" t="s">
        <v>730</v>
      </c>
      <c r="C29" s="367">
        <v>0.995</v>
      </c>
      <c r="D29" s="368">
        <v>2.1560585801741601</v>
      </c>
      <c r="E29" s="369">
        <v>0.5</v>
      </c>
      <c r="F29" s="369">
        <v>0.5</v>
      </c>
      <c r="G29" s="369">
        <v>0</v>
      </c>
      <c r="H29" s="367">
        <v>0.2</v>
      </c>
    </row>
    <row r="30" spans="1:8" x14ac:dyDescent="0.25">
      <c r="A30" s="96">
        <v>27</v>
      </c>
      <c r="B30" s="267" t="s">
        <v>731</v>
      </c>
      <c r="C30" s="367">
        <v>0.995</v>
      </c>
      <c r="D30" s="368">
        <v>0.66401163162574195</v>
      </c>
      <c r="E30" s="369">
        <v>0.2</v>
      </c>
      <c r="F30" s="369">
        <v>0.2</v>
      </c>
      <c r="G30" s="369">
        <v>0</v>
      </c>
      <c r="H30" s="367">
        <v>0.2</v>
      </c>
    </row>
    <row r="31" spans="1:8" x14ac:dyDescent="0.25">
      <c r="A31" s="96">
        <v>28</v>
      </c>
      <c r="B31" s="267" t="s">
        <v>447</v>
      </c>
      <c r="C31" s="367">
        <v>0.995</v>
      </c>
      <c r="D31" s="368">
        <v>3.4577402934700001</v>
      </c>
      <c r="E31" s="369">
        <v>0.5</v>
      </c>
      <c r="F31" s="369">
        <v>0.5</v>
      </c>
      <c r="G31" s="369">
        <v>0</v>
      </c>
      <c r="H31" s="367">
        <v>0.2</v>
      </c>
    </row>
    <row r="32" spans="1:8" x14ac:dyDescent="0.25">
      <c r="A32" s="96">
        <v>29</v>
      </c>
      <c r="B32" s="267" t="s">
        <v>450</v>
      </c>
      <c r="C32" s="367">
        <v>0.995</v>
      </c>
      <c r="D32" s="368">
        <v>1.22105410044666</v>
      </c>
      <c r="E32" s="369">
        <v>0.5</v>
      </c>
      <c r="F32" s="369">
        <v>0.5</v>
      </c>
      <c r="G32" s="369">
        <v>0</v>
      </c>
      <c r="H32" s="367">
        <v>0.2</v>
      </c>
    </row>
    <row r="33" spans="1:8" x14ac:dyDescent="0.25">
      <c r="A33" s="96">
        <v>30</v>
      </c>
      <c r="B33" s="267" t="s">
        <v>453</v>
      </c>
      <c r="C33" s="367">
        <v>0.995</v>
      </c>
      <c r="D33" s="368">
        <v>2.8363970870909099</v>
      </c>
      <c r="E33" s="369">
        <v>0.5</v>
      </c>
      <c r="F33" s="369">
        <v>0.2</v>
      </c>
      <c r="G33" s="369">
        <v>0</v>
      </c>
      <c r="H33" s="367">
        <v>0.2</v>
      </c>
    </row>
    <row r="34" spans="1:8" x14ac:dyDescent="0.25">
      <c r="A34" s="96">
        <v>31</v>
      </c>
      <c r="B34" s="267" t="s">
        <v>732</v>
      </c>
      <c r="C34" s="367">
        <v>0.995</v>
      </c>
      <c r="D34" s="368">
        <v>3.73874309368597</v>
      </c>
      <c r="E34" s="369">
        <v>0.2</v>
      </c>
      <c r="F34" s="369">
        <v>0.8</v>
      </c>
      <c r="G34" s="369">
        <v>0</v>
      </c>
      <c r="H34" s="367">
        <v>0.2</v>
      </c>
    </row>
    <row r="35" spans="1:8" x14ac:dyDescent="0.25">
      <c r="A35" s="96">
        <v>32</v>
      </c>
      <c r="B35" s="267" t="s">
        <v>733</v>
      </c>
      <c r="C35" s="367">
        <v>0.995</v>
      </c>
      <c r="D35" s="368">
        <v>1.1844116676895999</v>
      </c>
      <c r="E35" s="369">
        <v>0.8</v>
      </c>
      <c r="F35" s="369">
        <v>0.2</v>
      </c>
      <c r="G35" s="369">
        <v>0</v>
      </c>
      <c r="H35" s="367">
        <v>0.2</v>
      </c>
    </row>
    <row r="36" spans="1:8" x14ac:dyDescent="0.25">
      <c r="A36" s="96">
        <v>33</v>
      </c>
      <c r="B36" s="267" t="s">
        <v>734</v>
      </c>
      <c r="C36" s="367">
        <v>0.995</v>
      </c>
      <c r="D36" s="368">
        <v>0.90624343881874303</v>
      </c>
      <c r="E36" s="369">
        <v>0.2</v>
      </c>
      <c r="F36" s="369">
        <v>0.2</v>
      </c>
      <c r="G36" s="369">
        <v>0</v>
      </c>
      <c r="H36" s="367">
        <v>0.2</v>
      </c>
    </row>
    <row r="37" spans="1:8" x14ac:dyDescent="0.25">
      <c r="A37" s="96">
        <v>34</v>
      </c>
      <c r="B37" s="267" t="s">
        <v>735</v>
      </c>
      <c r="C37" s="367">
        <v>0.995</v>
      </c>
      <c r="D37" s="370" t="s">
        <v>2943</v>
      </c>
      <c r="E37" s="369">
        <v>0.2</v>
      </c>
      <c r="F37" s="369">
        <v>0.5</v>
      </c>
      <c r="G37" s="369">
        <v>0</v>
      </c>
      <c r="H37" s="367">
        <v>0.2</v>
      </c>
    </row>
    <row r="38" spans="1:8" x14ac:dyDescent="0.25">
      <c r="A38" s="96">
        <v>35</v>
      </c>
      <c r="B38" s="267" t="s">
        <v>736</v>
      </c>
      <c r="C38" s="367">
        <v>0.995</v>
      </c>
      <c r="D38" s="370" t="s">
        <v>2944</v>
      </c>
      <c r="E38" s="369">
        <v>0.2</v>
      </c>
      <c r="F38" s="369">
        <v>0.2</v>
      </c>
      <c r="G38" s="369">
        <v>0</v>
      </c>
      <c r="H38" s="367">
        <v>0.2</v>
      </c>
    </row>
    <row r="39" spans="1:8" x14ac:dyDescent="0.25">
      <c r="A39" s="96">
        <v>36</v>
      </c>
      <c r="B39" s="267" t="s">
        <v>467</v>
      </c>
      <c r="C39" s="367">
        <v>0.995</v>
      </c>
      <c r="D39" s="368">
        <v>0.73199514168388102</v>
      </c>
      <c r="E39" s="369">
        <v>0.2</v>
      </c>
      <c r="F39" s="369">
        <v>0.2</v>
      </c>
      <c r="G39" s="96">
        <v>0</v>
      </c>
      <c r="H39" s="96">
        <v>0</v>
      </c>
    </row>
    <row r="40" spans="1:8" x14ac:dyDescent="0.25">
      <c r="A40" s="96">
        <v>37</v>
      </c>
      <c r="B40" s="267" t="s">
        <v>469</v>
      </c>
      <c r="C40" s="367">
        <v>0.995</v>
      </c>
      <c r="D40" s="371">
        <v>0</v>
      </c>
      <c r="E40" s="369">
        <v>0.2</v>
      </c>
      <c r="F40" s="369">
        <v>0.2</v>
      </c>
      <c r="G40" s="369">
        <v>0</v>
      </c>
      <c r="H40" s="369">
        <v>0</v>
      </c>
    </row>
    <row r="41" spans="1:8" x14ac:dyDescent="0.25">
      <c r="A41" s="96">
        <v>38</v>
      </c>
      <c r="B41" s="267" t="s">
        <v>470</v>
      </c>
      <c r="C41" s="367">
        <v>0.995</v>
      </c>
      <c r="D41" s="371">
        <v>0</v>
      </c>
      <c r="E41" s="369">
        <v>0.5</v>
      </c>
      <c r="F41" s="369">
        <v>0</v>
      </c>
      <c r="G41" s="369">
        <v>0.1</v>
      </c>
      <c r="H41" s="369">
        <v>0</v>
      </c>
    </row>
    <row r="42" spans="1:8" x14ac:dyDescent="0.25">
      <c r="A42" s="96">
        <v>39</v>
      </c>
      <c r="B42" s="267" t="s">
        <v>471</v>
      </c>
      <c r="C42" s="96">
        <v>0.995</v>
      </c>
      <c r="D42" s="368">
        <v>0.45593965274582859</v>
      </c>
      <c r="E42" s="96">
        <v>0.5</v>
      </c>
      <c r="F42" s="96">
        <v>0.2</v>
      </c>
      <c r="G42" s="96">
        <v>0</v>
      </c>
      <c r="H42" s="96">
        <v>0.2</v>
      </c>
    </row>
    <row r="43" spans="1:8" x14ac:dyDescent="0.25">
      <c r="A43" s="96">
        <v>40</v>
      </c>
      <c r="B43" s="267" t="s">
        <v>473</v>
      </c>
      <c r="C43" s="96">
        <v>0.995</v>
      </c>
      <c r="D43" s="368">
        <v>0.89505524207044895</v>
      </c>
      <c r="E43" s="96">
        <v>0.2</v>
      </c>
      <c r="F43" s="96">
        <v>0.2</v>
      </c>
      <c r="G43" s="96">
        <v>0</v>
      </c>
      <c r="H43" s="96">
        <v>0.2</v>
      </c>
    </row>
    <row r="44" spans="1:8" x14ac:dyDescent="0.25">
      <c r="A44" s="96">
        <v>41</v>
      </c>
      <c r="B44" s="267" t="s">
        <v>475</v>
      </c>
      <c r="C44" s="96">
        <v>0.995</v>
      </c>
      <c r="D44" s="370" t="s">
        <v>2945</v>
      </c>
      <c r="E44" s="96">
        <v>0.2</v>
      </c>
      <c r="F44" s="96">
        <v>0.2</v>
      </c>
      <c r="G44" s="96">
        <v>0</v>
      </c>
      <c r="H44" s="96">
        <v>0.2</v>
      </c>
    </row>
    <row r="45" spans="1:8" x14ac:dyDescent="0.25">
      <c r="A45" s="96">
        <v>42</v>
      </c>
      <c r="B45" s="267" t="s">
        <v>477</v>
      </c>
      <c r="C45" s="96">
        <v>0.995</v>
      </c>
      <c r="D45" s="370" t="s">
        <v>2946</v>
      </c>
      <c r="E45" s="96">
        <v>0.2</v>
      </c>
      <c r="F45" s="96">
        <v>0.2</v>
      </c>
      <c r="G45" s="96">
        <v>0</v>
      </c>
      <c r="H45" s="96">
        <v>0.2</v>
      </c>
    </row>
    <row r="46" spans="1:8" x14ac:dyDescent="0.25">
      <c r="A46" s="96">
        <v>43</v>
      </c>
      <c r="B46" s="267" t="s">
        <v>479</v>
      </c>
      <c r="C46" s="96">
        <v>0.995</v>
      </c>
      <c r="D46" s="370" t="s">
        <v>2947</v>
      </c>
      <c r="E46" s="96">
        <v>0.2</v>
      </c>
      <c r="F46" s="96">
        <v>0.2</v>
      </c>
      <c r="G46" s="96">
        <v>0</v>
      </c>
      <c r="H46" s="96">
        <v>0.2</v>
      </c>
    </row>
    <row r="47" spans="1:8" x14ac:dyDescent="0.25">
      <c r="A47" s="96">
        <v>44</v>
      </c>
      <c r="B47" s="267" t="s">
        <v>481</v>
      </c>
      <c r="C47" s="96">
        <v>0.995</v>
      </c>
      <c r="D47" s="372">
        <v>0.8</v>
      </c>
      <c r="E47" s="96">
        <v>0.2</v>
      </c>
      <c r="F47" s="96">
        <v>0.2</v>
      </c>
      <c r="G47" s="96">
        <v>0</v>
      </c>
      <c r="H47" s="96">
        <v>0.2</v>
      </c>
    </row>
    <row r="48" spans="1:8" x14ac:dyDescent="0.25">
      <c r="A48" s="96">
        <v>45</v>
      </c>
      <c r="B48" s="267" t="s">
        <v>483</v>
      </c>
      <c r="C48" s="96">
        <v>0.995</v>
      </c>
      <c r="D48" s="372">
        <v>0.8</v>
      </c>
      <c r="E48" s="96">
        <v>0.2</v>
      </c>
      <c r="F48" s="96">
        <v>0.2</v>
      </c>
      <c r="G48" s="96">
        <v>0</v>
      </c>
      <c r="H48" s="96">
        <v>0.2</v>
      </c>
    </row>
    <row r="49" spans="1:8" x14ac:dyDescent="0.25">
      <c r="A49" s="96">
        <v>46</v>
      </c>
      <c r="B49" s="267" t="s">
        <v>638</v>
      </c>
      <c r="C49" s="96">
        <v>0.995</v>
      </c>
      <c r="D49" s="372">
        <v>0.8</v>
      </c>
      <c r="E49" s="96">
        <v>0.2</v>
      </c>
      <c r="F49" s="96">
        <v>0.2</v>
      </c>
      <c r="G49" s="96">
        <v>0</v>
      </c>
      <c r="H49" s="96">
        <v>0.2</v>
      </c>
    </row>
    <row r="50" spans="1:8" x14ac:dyDescent="0.25">
      <c r="A50" s="96">
        <v>47</v>
      </c>
      <c r="B50" s="267" t="s">
        <v>487</v>
      </c>
      <c r="C50" s="96">
        <v>0.995</v>
      </c>
      <c r="D50" s="372">
        <v>0.8</v>
      </c>
      <c r="E50" s="96">
        <v>0.2</v>
      </c>
      <c r="F50" s="96">
        <v>0.2</v>
      </c>
      <c r="G50" s="96">
        <v>0</v>
      </c>
      <c r="H50" s="96">
        <v>0.2</v>
      </c>
    </row>
    <row r="51" spans="1:8" x14ac:dyDescent="0.25">
      <c r="A51" s="96">
        <v>48</v>
      </c>
      <c r="B51" s="267" t="s">
        <v>489</v>
      </c>
      <c r="C51" s="96">
        <v>0.995</v>
      </c>
      <c r="D51" s="372">
        <v>7.4966281256279757E-2</v>
      </c>
      <c r="E51" s="96">
        <v>0.2</v>
      </c>
      <c r="F51" s="96">
        <v>0.2</v>
      </c>
      <c r="G51" s="96">
        <v>0</v>
      </c>
      <c r="H51" s="96">
        <v>0.2</v>
      </c>
    </row>
    <row r="52" spans="1:8" x14ac:dyDescent="0.25">
      <c r="A52" s="96">
        <v>49</v>
      </c>
      <c r="B52" s="267" t="s">
        <v>356</v>
      </c>
      <c r="C52" s="96">
        <v>0.995</v>
      </c>
      <c r="D52" s="372">
        <v>0.19671724924367845</v>
      </c>
      <c r="E52" s="96">
        <v>0.2</v>
      </c>
      <c r="F52" s="96">
        <v>0.2</v>
      </c>
      <c r="G52" s="96">
        <v>0</v>
      </c>
      <c r="H52" s="96">
        <v>0.2</v>
      </c>
    </row>
    <row r="53" spans="1:8" x14ac:dyDescent="0.25">
      <c r="A53" s="96">
        <v>50</v>
      </c>
      <c r="B53" s="267" t="s">
        <v>357</v>
      </c>
      <c r="C53" s="96">
        <v>0.995</v>
      </c>
      <c r="D53" s="372">
        <v>1.9799999999999998</v>
      </c>
      <c r="E53" s="96">
        <v>0.2</v>
      </c>
      <c r="F53" s="96">
        <v>0.2</v>
      </c>
      <c r="G53" s="96">
        <v>0</v>
      </c>
      <c r="H53" s="96">
        <v>0.2</v>
      </c>
    </row>
    <row r="54" spans="1:8" x14ac:dyDescent="0.25">
      <c r="A54" s="96">
        <v>51</v>
      </c>
      <c r="B54" s="267" t="s">
        <v>679</v>
      </c>
      <c r="C54" s="96">
        <v>0.995</v>
      </c>
      <c r="D54" s="372">
        <v>0.7</v>
      </c>
      <c r="E54" s="96">
        <v>0.2</v>
      </c>
      <c r="F54" s="96">
        <v>0.2</v>
      </c>
      <c r="G54" s="96">
        <v>0</v>
      </c>
      <c r="H54" s="96">
        <v>0.2</v>
      </c>
    </row>
    <row r="55" spans="1:8" x14ac:dyDescent="0.25">
      <c r="A55" s="96">
        <v>52</v>
      </c>
      <c r="B55" s="267" t="s">
        <v>5</v>
      </c>
      <c r="C55" s="96">
        <v>0.995</v>
      </c>
      <c r="D55" s="370" t="s">
        <v>2948</v>
      </c>
      <c r="E55" s="96">
        <v>0.2</v>
      </c>
      <c r="F55" s="96">
        <v>0.2</v>
      </c>
      <c r="G55" s="96">
        <v>0</v>
      </c>
      <c r="H55" s="96">
        <v>0.2</v>
      </c>
    </row>
    <row r="56" spans="1:8" x14ac:dyDescent="0.25">
      <c r="A56" s="96">
        <v>53</v>
      </c>
      <c r="B56" s="18" t="s">
        <v>727</v>
      </c>
      <c r="C56" s="96">
        <v>0.995</v>
      </c>
      <c r="D56" s="372">
        <v>1</v>
      </c>
      <c r="E56" s="96">
        <v>0.2</v>
      </c>
      <c r="F56" s="96">
        <v>0.2</v>
      </c>
      <c r="G56" s="96">
        <v>0</v>
      </c>
      <c r="H56" s="96">
        <v>0.2</v>
      </c>
    </row>
    <row r="57" spans="1:8" x14ac:dyDescent="0.25">
      <c r="A57" s="363">
        <v>54</v>
      </c>
      <c r="B57" s="373" t="s">
        <v>681</v>
      </c>
      <c r="C57" s="374">
        <v>0.995</v>
      </c>
      <c r="D57" s="375">
        <v>1</v>
      </c>
      <c r="E57" s="374">
        <v>0.2</v>
      </c>
      <c r="F57" s="374">
        <v>0.2</v>
      </c>
      <c r="G57" s="374">
        <v>0</v>
      </c>
      <c r="H57" s="374">
        <v>0.2</v>
      </c>
    </row>
  </sheetData>
  <mergeCells count="1">
    <mergeCell ref="A1:H2"/>
  </mergeCells>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57"/>
  <sheetViews>
    <sheetView workbookViewId="0">
      <pane xSplit="2" ySplit="2" topLeftCell="AC3" activePane="bottomRight" state="frozen"/>
      <selection pane="topRight" activeCell="C1" sqref="C1"/>
      <selection pane="bottomLeft" activeCell="A3" sqref="A3"/>
      <selection pane="bottomRight" activeCell="AC19" sqref="AC19"/>
    </sheetView>
  </sheetViews>
  <sheetFormatPr defaultColWidth="30" defaultRowHeight="15" x14ac:dyDescent="0.25"/>
  <cols>
    <col min="1" max="1" width="7.85546875" style="378" customWidth="1"/>
    <col min="2" max="2" width="22.85546875" style="18" bestFit="1" customWidth="1"/>
    <col min="3" max="3" width="14.140625" style="18" bestFit="1" customWidth="1"/>
    <col min="4" max="4" width="21.140625" style="18" bestFit="1" customWidth="1"/>
    <col min="5" max="5" width="10.85546875" style="18" customWidth="1"/>
    <col min="6" max="6" width="12.85546875" style="18" customWidth="1"/>
    <col min="7" max="7" width="12.140625" style="18" bestFit="1" customWidth="1"/>
    <col min="8" max="8" width="11.7109375" style="18" bestFit="1" customWidth="1"/>
    <col min="9" max="9" width="13.42578125" style="18" bestFit="1" customWidth="1"/>
    <col min="10" max="10" width="10.140625" style="18" bestFit="1" customWidth="1"/>
    <col min="11" max="11" width="15" style="18" bestFit="1" customWidth="1"/>
    <col min="12" max="12" width="9.140625" style="18" bestFit="1" customWidth="1"/>
    <col min="13" max="13" width="14.42578125" style="18" customWidth="1"/>
    <col min="14" max="14" width="11.42578125" style="18" customWidth="1"/>
    <col min="15" max="15" width="9.85546875" style="18" bestFit="1" customWidth="1"/>
    <col min="16" max="16" width="10.85546875" style="18" customWidth="1"/>
    <col min="17" max="17" width="9.85546875" style="18" bestFit="1" customWidth="1"/>
    <col min="18" max="18" width="9.28515625" style="18" customWidth="1"/>
    <col min="19" max="19" width="8.28515625" style="18" bestFit="1" customWidth="1"/>
    <col min="20" max="20" width="12" style="18" customWidth="1"/>
    <col min="21" max="21" width="6.85546875" style="18" bestFit="1" customWidth="1"/>
    <col min="22" max="22" width="9.140625" style="383" bestFit="1" customWidth="1"/>
    <col min="23" max="23" width="9.28515625" style="18" customWidth="1"/>
    <col min="24" max="24" width="9.42578125" style="18" customWidth="1"/>
    <col min="25" max="25" width="12.140625" style="18" bestFit="1" customWidth="1"/>
    <col min="26" max="26" width="9.42578125" style="18" bestFit="1" customWidth="1"/>
    <col min="27" max="27" width="8.28515625" style="18" bestFit="1" customWidth="1"/>
    <col min="28" max="28" width="11" style="18" customWidth="1"/>
    <col min="29" max="29" width="12.85546875" style="18" customWidth="1"/>
    <col min="30" max="30" width="11.7109375" style="18" customWidth="1"/>
    <col min="31" max="31" width="12.140625" style="18" customWidth="1"/>
    <col min="32" max="32" width="11.140625" style="18" customWidth="1"/>
    <col min="33" max="33" width="9" style="18" customWidth="1"/>
    <col min="34" max="34" width="8.7109375" style="18" customWidth="1"/>
    <col min="35" max="35" width="11.85546875" style="18" customWidth="1"/>
    <col min="36" max="36" width="14.28515625" style="18" bestFit="1" customWidth="1"/>
    <col min="37" max="37" width="9.5703125" style="18" bestFit="1" customWidth="1"/>
    <col min="38" max="38" width="9.140625" style="18" bestFit="1" customWidth="1"/>
    <col min="39" max="39" width="18.5703125" style="18" bestFit="1" customWidth="1"/>
    <col min="40" max="40" width="15" style="18" bestFit="1" customWidth="1"/>
    <col min="41" max="41" width="8.28515625" style="18" bestFit="1" customWidth="1"/>
    <col min="42" max="42" width="16.140625" style="18" bestFit="1" customWidth="1"/>
    <col min="43" max="43" width="13.7109375" style="18" bestFit="1" customWidth="1"/>
    <col min="44" max="44" width="5.5703125" style="18" bestFit="1" customWidth="1"/>
    <col min="45" max="45" width="13.85546875" style="18" bestFit="1" customWidth="1"/>
    <col min="46" max="46" width="15.140625" style="18" bestFit="1" customWidth="1"/>
    <col min="47" max="47" width="20.140625" style="18" bestFit="1" customWidth="1"/>
    <col min="48" max="48" width="22.7109375" style="18" bestFit="1" customWidth="1"/>
    <col min="49" max="49" width="20.5703125" style="18" bestFit="1" customWidth="1"/>
    <col min="50" max="50" width="8.7109375" style="18" bestFit="1" customWidth="1"/>
    <col min="51" max="51" width="12.140625" style="18" bestFit="1" customWidth="1"/>
    <col min="52" max="52" width="14" style="18" bestFit="1" customWidth="1"/>
    <col min="53" max="53" width="14.85546875" style="18" bestFit="1" customWidth="1"/>
    <col min="54" max="54" width="8.7109375" style="18" bestFit="1" customWidth="1"/>
    <col min="55" max="55" width="7.7109375" style="18" customWidth="1"/>
    <col min="56" max="56" width="15.28515625" style="18" bestFit="1" customWidth="1"/>
    <col min="57" max="16384" width="30" style="18"/>
  </cols>
  <sheetData>
    <row r="1" spans="1:56" ht="28.5" customHeight="1" x14ac:dyDescent="0.25">
      <c r="A1" s="446" t="s">
        <v>3070</v>
      </c>
      <c r="B1" s="446"/>
      <c r="C1" s="446"/>
      <c r="D1" s="446"/>
      <c r="E1" s="446"/>
      <c r="F1" s="446"/>
      <c r="G1" s="446"/>
      <c r="H1" s="446"/>
      <c r="I1" s="446"/>
      <c r="J1" s="446"/>
      <c r="K1" s="446"/>
      <c r="L1" s="446"/>
      <c r="M1" s="446"/>
      <c r="N1" s="446"/>
      <c r="O1" s="446"/>
      <c r="P1" s="446"/>
      <c r="Q1" s="329"/>
      <c r="R1" s="329"/>
      <c r="S1" s="329"/>
      <c r="T1" s="329"/>
      <c r="U1" s="329"/>
      <c r="V1" s="380"/>
      <c r="W1" s="329"/>
      <c r="X1" s="329"/>
      <c r="Y1" s="329"/>
      <c r="Z1" s="329"/>
      <c r="AA1" s="329"/>
      <c r="AB1" s="329"/>
      <c r="AC1" s="329"/>
      <c r="AD1" s="329"/>
      <c r="AE1" s="329"/>
      <c r="AF1" s="329"/>
      <c r="AG1" s="329"/>
      <c r="AH1" s="329"/>
      <c r="AI1" s="329"/>
      <c r="AJ1" s="329"/>
      <c r="AK1" s="329"/>
      <c r="AL1" s="329"/>
      <c r="AM1" s="329"/>
      <c r="AN1" s="329"/>
      <c r="AO1" s="329"/>
      <c r="AP1" s="329"/>
      <c r="AQ1" s="329"/>
      <c r="AR1" s="329"/>
      <c r="AS1" s="329"/>
      <c r="AT1" s="329"/>
      <c r="AU1" s="329"/>
      <c r="AV1" s="329"/>
      <c r="AW1" s="329"/>
      <c r="AX1" s="329"/>
      <c r="AY1" s="329"/>
      <c r="AZ1" s="329"/>
      <c r="BA1" s="329"/>
      <c r="BB1" s="329"/>
      <c r="BC1" s="329"/>
    </row>
    <row r="2" spans="1:56" s="377" customFormat="1" ht="33" customHeight="1" x14ac:dyDescent="0.25">
      <c r="A2" s="387" t="s">
        <v>345</v>
      </c>
      <c r="B2" s="388"/>
      <c r="C2" s="387" t="s">
        <v>353</v>
      </c>
      <c r="D2" s="387" t="s">
        <v>2954</v>
      </c>
      <c r="E2" s="389" t="s">
        <v>676</v>
      </c>
      <c r="F2" s="389" t="s">
        <v>721</v>
      </c>
      <c r="G2" s="389" t="s">
        <v>722</v>
      </c>
      <c r="H2" s="387" t="s">
        <v>1</v>
      </c>
      <c r="I2" s="389" t="s">
        <v>723</v>
      </c>
      <c r="J2" s="387" t="s">
        <v>7</v>
      </c>
      <c r="K2" s="387" t="s">
        <v>395</v>
      </c>
      <c r="L2" s="389" t="s">
        <v>724</v>
      </c>
      <c r="M2" s="387" t="s">
        <v>10</v>
      </c>
      <c r="N2" s="389" t="s">
        <v>725</v>
      </c>
      <c r="O2" s="387" t="s">
        <v>401</v>
      </c>
      <c r="P2" s="387" t="s">
        <v>405</v>
      </c>
      <c r="Q2" s="387" t="s">
        <v>726</v>
      </c>
      <c r="R2" s="387" t="s">
        <v>411</v>
      </c>
      <c r="S2" s="387" t="s">
        <v>415</v>
      </c>
      <c r="T2" s="387" t="s">
        <v>358</v>
      </c>
      <c r="U2" s="387" t="s">
        <v>546</v>
      </c>
      <c r="V2" s="390" t="s">
        <v>424</v>
      </c>
      <c r="W2" s="387" t="s">
        <v>694</v>
      </c>
      <c r="X2" s="387" t="s">
        <v>556</v>
      </c>
      <c r="Y2" s="387" t="s">
        <v>433</v>
      </c>
      <c r="Z2" s="389" t="s">
        <v>728</v>
      </c>
      <c r="AA2" s="389" t="s">
        <v>729</v>
      </c>
      <c r="AB2" s="389" t="s">
        <v>730</v>
      </c>
      <c r="AC2" s="389" t="s">
        <v>731</v>
      </c>
      <c r="AD2" s="387" t="s">
        <v>447</v>
      </c>
      <c r="AE2" s="387" t="s">
        <v>450</v>
      </c>
      <c r="AF2" s="387" t="s">
        <v>453</v>
      </c>
      <c r="AG2" s="389" t="s">
        <v>732</v>
      </c>
      <c r="AH2" s="389" t="s">
        <v>733</v>
      </c>
      <c r="AI2" s="387" t="s">
        <v>461</v>
      </c>
      <c r="AJ2" s="387" t="s">
        <v>463</v>
      </c>
      <c r="AK2" s="389" t="s">
        <v>736</v>
      </c>
      <c r="AL2" s="387" t="s">
        <v>467</v>
      </c>
      <c r="AM2" s="387" t="s">
        <v>469</v>
      </c>
      <c r="AN2" s="387" t="s">
        <v>470</v>
      </c>
      <c r="AO2" s="387" t="s">
        <v>471</v>
      </c>
      <c r="AP2" s="387" t="s">
        <v>473</v>
      </c>
      <c r="AQ2" s="387" t="s">
        <v>475</v>
      </c>
      <c r="AR2" s="387" t="s">
        <v>477</v>
      </c>
      <c r="AS2" s="387" t="s">
        <v>479</v>
      </c>
      <c r="AT2" s="387" t="s">
        <v>481</v>
      </c>
      <c r="AU2" s="387" t="s">
        <v>483</v>
      </c>
      <c r="AV2" s="387" t="s">
        <v>638</v>
      </c>
      <c r="AW2" s="387" t="s">
        <v>487</v>
      </c>
      <c r="AX2" s="387" t="s">
        <v>489</v>
      </c>
      <c r="AY2" s="387" t="s">
        <v>356</v>
      </c>
      <c r="AZ2" s="387" t="s">
        <v>357</v>
      </c>
      <c r="BA2" s="387" t="s">
        <v>679</v>
      </c>
      <c r="BB2" s="387" t="s">
        <v>5</v>
      </c>
      <c r="BC2" s="387" t="s">
        <v>727</v>
      </c>
      <c r="BD2" s="387" t="s">
        <v>681</v>
      </c>
    </row>
    <row r="3" spans="1:56" x14ac:dyDescent="0.25">
      <c r="A3" s="378">
        <v>1</v>
      </c>
      <c r="B3" s="376" t="s">
        <v>353</v>
      </c>
      <c r="C3" s="379">
        <v>0</v>
      </c>
      <c r="D3" s="379">
        <v>0</v>
      </c>
      <c r="E3" s="379">
        <v>0</v>
      </c>
      <c r="F3" s="379">
        <v>0.81079910515154396</v>
      </c>
      <c r="G3" s="379">
        <v>0</v>
      </c>
      <c r="H3" s="379">
        <v>0</v>
      </c>
      <c r="I3" s="379">
        <f>0.53748384988657+(0.611279438097119/3)</f>
        <v>0.7412436625856097</v>
      </c>
      <c r="J3" s="379">
        <v>0</v>
      </c>
      <c r="K3" s="379">
        <f>1.47196014438797+(1.73205080756888/10)</f>
        <v>1.6451652251448579</v>
      </c>
      <c r="L3" s="379">
        <v>0</v>
      </c>
      <c r="M3" s="379">
        <v>0</v>
      </c>
      <c r="N3" s="379">
        <v>4.6904157598234297</v>
      </c>
      <c r="O3" s="379">
        <v>0</v>
      </c>
      <c r="P3" s="379">
        <v>0</v>
      </c>
      <c r="Q3" s="379">
        <v>0</v>
      </c>
      <c r="R3" s="379">
        <v>0</v>
      </c>
      <c r="S3" s="379">
        <v>3.16227766016838</v>
      </c>
      <c r="T3" s="379">
        <v>0.77083573228427205</v>
      </c>
      <c r="U3" s="379">
        <v>2.4494897427831801</v>
      </c>
      <c r="V3" s="381">
        <v>0</v>
      </c>
      <c r="W3" s="379">
        <v>0</v>
      </c>
      <c r="X3" s="379">
        <v>0</v>
      </c>
      <c r="Y3" s="379">
        <v>0</v>
      </c>
      <c r="Z3" s="379">
        <v>0</v>
      </c>
      <c r="AA3" s="379">
        <v>0</v>
      </c>
      <c r="AB3" s="379">
        <v>0</v>
      </c>
      <c r="AC3" s="379">
        <v>0</v>
      </c>
      <c r="AD3" s="379">
        <v>0</v>
      </c>
      <c r="AE3" s="379">
        <v>0</v>
      </c>
      <c r="AF3" s="379">
        <v>0</v>
      </c>
      <c r="AG3" s="379">
        <v>0</v>
      </c>
      <c r="AH3" s="379">
        <v>0</v>
      </c>
      <c r="AI3" s="379">
        <f>3.419158994841+(3.33204954107276/21)</f>
        <v>3.5778280206063697</v>
      </c>
      <c r="AJ3" s="379">
        <v>0</v>
      </c>
      <c r="AK3" s="379">
        <v>0</v>
      </c>
      <c r="AL3" s="379">
        <v>0</v>
      </c>
      <c r="AM3" s="379">
        <v>0.23022081247934101</v>
      </c>
      <c r="AN3" s="379">
        <f>1.90787840283389+(2.64575131106459/8)</f>
        <v>2.2385973167169637</v>
      </c>
      <c r="AO3" s="379">
        <f>0.9270131082763+(0.868966075756888/4)</f>
        <v>1.1442546272155221</v>
      </c>
      <c r="AP3" s="379">
        <f>0.997812552487033+(3.16227766016838/10)</f>
        <v>1.3140403185038712</v>
      </c>
      <c r="AQ3" s="379">
        <v>0</v>
      </c>
      <c r="AR3" s="379">
        <v>0</v>
      </c>
      <c r="AS3" s="379">
        <v>0</v>
      </c>
      <c r="AT3" s="379">
        <v>0</v>
      </c>
      <c r="AU3" s="379">
        <v>0</v>
      </c>
      <c r="AV3" s="379">
        <v>0</v>
      </c>
      <c r="AW3" s="379">
        <v>0</v>
      </c>
      <c r="AX3" s="379">
        <v>0</v>
      </c>
      <c r="AY3" s="379">
        <v>0</v>
      </c>
      <c r="AZ3" s="379">
        <v>0</v>
      </c>
      <c r="BA3" s="379">
        <v>0</v>
      </c>
      <c r="BB3" s="379">
        <v>0</v>
      </c>
      <c r="BC3" s="379">
        <v>0</v>
      </c>
      <c r="BD3" s="379">
        <v>0</v>
      </c>
    </row>
    <row r="4" spans="1:56" x14ac:dyDescent="0.25">
      <c r="A4" s="378">
        <v>2</v>
      </c>
      <c r="B4" s="376" t="s">
        <v>2954</v>
      </c>
      <c r="C4" s="379">
        <v>0</v>
      </c>
      <c r="D4" s="379">
        <v>0</v>
      </c>
      <c r="E4" s="379">
        <v>0</v>
      </c>
      <c r="F4" s="379">
        <v>0</v>
      </c>
      <c r="G4" s="379">
        <v>0</v>
      </c>
      <c r="H4" s="379">
        <v>0</v>
      </c>
      <c r="I4" s="379">
        <v>0</v>
      </c>
      <c r="J4" s="379">
        <v>0</v>
      </c>
      <c r="K4" s="379">
        <f>1.3228756555323+(1.73205080756888/10)</f>
        <v>1.4960807362891879</v>
      </c>
      <c r="L4" s="379">
        <v>0</v>
      </c>
      <c r="M4" s="379">
        <v>0</v>
      </c>
      <c r="N4" s="379">
        <v>0</v>
      </c>
      <c r="O4" s="379">
        <v>0</v>
      </c>
      <c r="P4" s="379">
        <v>0</v>
      </c>
      <c r="Q4" s="379">
        <v>0</v>
      </c>
      <c r="R4" s="379">
        <f>2+(2/8)</f>
        <v>2.25</v>
      </c>
      <c r="S4" s="379">
        <v>1.7122519453805001</v>
      </c>
      <c r="T4" s="379">
        <v>0</v>
      </c>
      <c r="U4" s="379">
        <v>0.87009686741366099</v>
      </c>
      <c r="V4" s="382">
        <v>2.2397365114409502</v>
      </c>
      <c r="W4" s="379">
        <f>4.24264068711928+(3.13896484116559/16)</f>
        <v>4.4388259896921296</v>
      </c>
      <c r="X4" s="379">
        <v>0</v>
      </c>
      <c r="Y4" s="379">
        <v>0</v>
      </c>
      <c r="Z4" s="379">
        <v>2.2360679774997898</v>
      </c>
      <c r="AA4" s="379">
        <v>0</v>
      </c>
      <c r="AB4" s="379">
        <v>1.9113817448587807</v>
      </c>
      <c r="AC4" s="379">
        <f>2.3779817364963+(3.17251677289325/17)</f>
        <v>2.5646003701959028</v>
      </c>
      <c r="AD4" s="379">
        <v>0</v>
      </c>
      <c r="AE4" s="379">
        <v>1.4773920344336799</v>
      </c>
      <c r="AF4" s="379">
        <v>0</v>
      </c>
      <c r="AG4" s="379">
        <v>1.2520974138957</v>
      </c>
      <c r="AH4" s="379">
        <v>0</v>
      </c>
      <c r="AI4" s="379">
        <f>3.33665180945282+(3.33204954107276/21)</f>
        <v>3.4953208352181897</v>
      </c>
      <c r="AJ4" s="379">
        <v>0</v>
      </c>
      <c r="AK4" s="379">
        <v>0</v>
      </c>
      <c r="AL4" s="379">
        <v>0</v>
      </c>
      <c r="AM4" s="379">
        <v>0.164511554575234</v>
      </c>
      <c r="AN4" s="379">
        <f>0.671279638066325+(2.64575131106459/8)</f>
        <v>1.0019985519493986</v>
      </c>
      <c r="AO4" s="379">
        <f>0.617103173327291+(0.868966075756888/4)</f>
        <v>0.83434469226651298</v>
      </c>
      <c r="AP4" s="379">
        <f>0.828133526189953+(3.16227766016838/10)</f>
        <v>1.1443612922067909</v>
      </c>
      <c r="AQ4" s="379">
        <v>0</v>
      </c>
      <c r="AR4" s="379">
        <v>0</v>
      </c>
      <c r="AS4" s="379">
        <v>0</v>
      </c>
      <c r="AT4" s="379">
        <v>0.61492968018920002</v>
      </c>
      <c r="AU4" s="379">
        <f>1.94113600604221+(2/14)</f>
        <v>2.0839931488993528</v>
      </c>
      <c r="AV4" s="379">
        <v>0</v>
      </c>
      <c r="AW4" s="379">
        <v>0</v>
      </c>
      <c r="AX4" s="379">
        <v>0</v>
      </c>
      <c r="AY4" s="379">
        <v>0</v>
      </c>
      <c r="AZ4" s="379">
        <v>0</v>
      </c>
      <c r="BA4" s="379">
        <v>0</v>
      </c>
      <c r="BB4" s="379">
        <v>0</v>
      </c>
      <c r="BC4" s="379">
        <v>0</v>
      </c>
      <c r="BD4" s="379">
        <v>0</v>
      </c>
    </row>
    <row r="5" spans="1:56" x14ac:dyDescent="0.25">
      <c r="A5" s="378">
        <v>3</v>
      </c>
      <c r="B5" s="361" t="s">
        <v>676</v>
      </c>
      <c r="C5" s="379">
        <v>0</v>
      </c>
      <c r="D5" s="379">
        <v>0</v>
      </c>
      <c r="E5" s="379">
        <v>0</v>
      </c>
      <c r="F5" s="379">
        <v>0.58823010975064305</v>
      </c>
      <c r="G5" s="379">
        <v>0</v>
      </c>
      <c r="H5" s="379">
        <v>0</v>
      </c>
      <c r="I5" s="379">
        <v>0</v>
      </c>
      <c r="J5" s="379">
        <v>0</v>
      </c>
      <c r="K5" s="379">
        <v>0</v>
      </c>
      <c r="L5" s="379">
        <v>2.0052185917071701</v>
      </c>
      <c r="M5" s="379">
        <v>0</v>
      </c>
      <c r="N5" s="379">
        <v>4.1353915939480199</v>
      </c>
      <c r="O5" s="379">
        <v>0</v>
      </c>
      <c r="P5" s="379">
        <v>0</v>
      </c>
      <c r="Q5" s="379">
        <v>0</v>
      </c>
      <c r="R5" s="379">
        <v>0</v>
      </c>
      <c r="S5" s="379">
        <v>0</v>
      </c>
      <c r="T5" s="379">
        <v>2</v>
      </c>
      <c r="U5" s="379">
        <v>0</v>
      </c>
      <c r="V5" s="381">
        <v>0</v>
      </c>
      <c r="W5" s="379">
        <v>0</v>
      </c>
      <c r="X5" s="379">
        <v>0</v>
      </c>
      <c r="Y5" s="379">
        <v>0</v>
      </c>
      <c r="Z5" s="379">
        <v>0</v>
      </c>
      <c r="AA5" s="379">
        <v>0</v>
      </c>
      <c r="AB5" s="379">
        <v>0</v>
      </c>
      <c r="AC5" s="379">
        <v>0</v>
      </c>
      <c r="AD5" s="379">
        <v>0</v>
      </c>
      <c r="AE5" s="379">
        <v>0</v>
      </c>
      <c r="AF5" s="379">
        <v>0</v>
      </c>
      <c r="AG5" s="379">
        <v>0</v>
      </c>
      <c r="AH5" s="379">
        <v>0</v>
      </c>
      <c r="AI5" s="379">
        <v>0</v>
      </c>
      <c r="AJ5" s="379">
        <v>0</v>
      </c>
      <c r="AK5" s="379">
        <v>0</v>
      </c>
      <c r="AL5" s="379">
        <v>0</v>
      </c>
      <c r="AM5" s="379">
        <v>0</v>
      </c>
      <c r="AN5" s="379">
        <v>0</v>
      </c>
      <c r="AO5" s="379">
        <v>0</v>
      </c>
      <c r="AP5" s="379">
        <v>0</v>
      </c>
      <c r="AQ5" s="379">
        <v>0</v>
      </c>
      <c r="AR5" s="379">
        <v>0</v>
      </c>
      <c r="AS5" s="379">
        <v>0</v>
      </c>
      <c r="AT5" s="379">
        <v>0</v>
      </c>
      <c r="AU5" s="379">
        <v>0</v>
      </c>
      <c r="AV5" s="379">
        <v>0</v>
      </c>
      <c r="AW5" s="379">
        <v>0</v>
      </c>
      <c r="AX5" s="379">
        <v>2.2360679774997898</v>
      </c>
      <c r="AY5" s="379">
        <v>0</v>
      </c>
      <c r="AZ5" s="379">
        <v>0</v>
      </c>
      <c r="BA5" s="379">
        <v>0</v>
      </c>
      <c r="BB5" s="379">
        <v>0</v>
      </c>
      <c r="BC5" s="379">
        <v>0</v>
      </c>
      <c r="BD5" s="379">
        <v>0</v>
      </c>
    </row>
    <row r="6" spans="1:56" x14ac:dyDescent="0.25">
      <c r="A6" s="378">
        <v>4</v>
      </c>
      <c r="B6" s="361" t="s">
        <v>721</v>
      </c>
      <c r="C6" s="379">
        <v>0</v>
      </c>
      <c r="D6" s="379">
        <v>0</v>
      </c>
      <c r="E6" s="379">
        <v>0</v>
      </c>
      <c r="F6" s="379">
        <v>0</v>
      </c>
      <c r="G6" s="379">
        <v>0</v>
      </c>
      <c r="H6" s="379">
        <v>0</v>
      </c>
      <c r="I6" s="379">
        <v>0</v>
      </c>
      <c r="J6" s="379">
        <v>1.2171125645192999</v>
      </c>
      <c r="K6" s="379">
        <v>0</v>
      </c>
      <c r="L6" s="379">
        <v>1.1888672915435501</v>
      </c>
      <c r="M6" s="379">
        <v>0</v>
      </c>
      <c r="N6" s="379">
        <v>2.4003238979961399</v>
      </c>
      <c r="O6" s="379">
        <v>1.6993660696219399</v>
      </c>
      <c r="P6" s="379">
        <v>0</v>
      </c>
      <c r="Q6" s="379">
        <f>2.23606797749979+(1.17124557190675/10)</f>
        <v>2.3531925346904647</v>
      </c>
      <c r="R6" s="379">
        <v>0</v>
      </c>
      <c r="S6" s="379">
        <v>1.7487338617452901</v>
      </c>
      <c r="T6" s="379">
        <v>0</v>
      </c>
      <c r="U6" s="379">
        <v>0</v>
      </c>
      <c r="V6" s="382">
        <v>2.2360679774997898</v>
      </c>
      <c r="W6" s="379">
        <v>0</v>
      </c>
      <c r="X6" s="379">
        <v>0.866059565848466</v>
      </c>
      <c r="Y6" s="379">
        <v>0.866059565848466</v>
      </c>
      <c r="Z6" s="379">
        <v>0</v>
      </c>
      <c r="AA6" s="379">
        <v>0</v>
      </c>
      <c r="AB6" s="379">
        <v>0</v>
      </c>
      <c r="AC6" s="379">
        <v>0</v>
      </c>
      <c r="AD6" s="379">
        <v>0</v>
      </c>
      <c r="AE6" s="379">
        <v>0</v>
      </c>
      <c r="AF6" s="379">
        <v>0</v>
      </c>
      <c r="AG6" s="379">
        <v>2.5933365163838902</v>
      </c>
      <c r="AH6" s="379">
        <v>0</v>
      </c>
      <c r="AI6" s="379">
        <f>3.56509316116611+(3.33204954107276/21)</f>
        <v>3.7237621869314794</v>
      </c>
      <c r="AJ6" s="379">
        <v>0</v>
      </c>
      <c r="AK6" s="379">
        <v>0</v>
      </c>
      <c r="AL6" s="379">
        <v>0</v>
      </c>
      <c r="AM6" s="379">
        <v>0</v>
      </c>
      <c r="AN6" s="379">
        <v>0</v>
      </c>
      <c r="AO6" s="379">
        <v>0</v>
      </c>
      <c r="AP6" s="379">
        <v>0</v>
      </c>
      <c r="AQ6" s="379">
        <v>0</v>
      </c>
      <c r="AR6" s="379">
        <v>0</v>
      </c>
      <c r="AS6" s="379">
        <v>0</v>
      </c>
      <c r="AT6" s="379">
        <v>0</v>
      </c>
      <c r="AU6" s="379">
        <v>0</v>
      </c>
      <c r="AV6" s="379">
        <v>0</v>
      </c>
      <c r="AW6" s="379">
        <v>0</v>
      </c>
      <c r="AX6" s="379">
        <v>0</v>
      </c>
      <c r="AY6" s="379">
        <v>0</v>
      </c>
      <c r="AZ6" s="379">
        <v>0</v>
      </c>
      <c r="BA6" s="379">
        <v>0</v>
      </c>
      <c r="BB6" s="379">
        <v>0</v>
      </c>
      <c r="BC6" s="379">
        <v>0</v>
      </c>
      <c r="BD6" s="379">
        <v>0</v>
      </c>
    </row>
    <row r="7" spans="1:56" x14ac:dyDescent="0.25">
      <c r="A7" s="378">
        <v>5</v>
      </c>
      <c r="B7" s="361" t="s">
        <v>722</v>
      </c>
      <c r="C7" s="379">
        <v>0</v>
      </c>
      <c r="D7" s="379">
        <v>0</v>
      </c>
      <c r="E7" s="379">
        <v>0</v>
      </c>
      <c r="F7" s="379">
        <v>0</v>
      </c>
      <c r="G7" s="379">
        <v>0</v>
      </c>
      <c r="H7" s="379">
        <v>0</v>
      </c>
      <c r="I7" s="379">
        <f>0.892354355789389+(0.611279438097119/3)</f>
        <v>1.0961141684884288</v>
      </c>
      <c r="J7" s="379">
        <v>1.2900437525100801</v>
      </c>
      <c r="K7" s="379">
        <f>0.377964473009227+(1.73205080756888/10)</f>
        <v>0.55116955376611498</v>
      </c>
      <c r="L7" s="379">
        <v>1.87632607338754</v>
      </c>
      <c r="M7" s="379">
        <v>0</v>
      </c>
      <c r="N7" s="379">
        <v>3.59144214855263</v>
      </c>
      <c r="O7" s="379">
        <v>0</v>
      </c>
      <c r="P7" s="379">
        <v>0</v>
      </c>
      <c r="Q7" s="379">
        <v>0</v>
      </c>
      <c r="R7" s="379">
        <v>0</v>
      </c>
      <c r="S7" s="379">
        <v>3.16227766016838</v>
      </c>
      <c r="T7" s="379">
        <v>0</v>
      </c>
      <c r="U7" s="379">
        <v>0</v>
      </c>
      <c r="V7" s="381">
        <v>0</v>
      </c>
      <c r="W7" s="379">
        <v>0</v>
      </c>
      <c r="X7" s="379">
        <v>1.7320508075688801</v>
      </c>
      <c r="Y7" s="379">
        <v>1.7320508075688801</v>
      </c>
      <c r="Z7" s="379">
        <v>2.2360679774997898</v>
      </c>
      <c r="AA7" s="379">
        <v>0</v>
      </c>
      <c r="AB7" s="379">
        <v>0</v>
      </c>
      <c r="AC7" s="379">
        <v>0</v>
      </c>
      <c r="AD7" s="379">
        <v>0</v>
      </c>
      <c r="AE7" s="379">
        <v>2.6457513110645898</v>
      </c>
      <c r="AF7" s="379">
        <v>0</v>
      </c>
      <c r="AG7" s="379">
        <v>0</v>
      </c>
      <c r="AH7" s="379">
        <v>0</v>
      </c>
      <c r="AI7" s="379">
        <f>2.32580613826027+(3.33204954107276/21)</f>
        <v>2.4844751640256395</v>
      </c>
      <c r="AJ7" s="379">
        <v>0</v>
      </c>
      <c r="AK7" s="379">
        <f>1.4142135623731+(1.41497117678151/12)</f>
        <v>1.5321278271048926</v>
      </c>
      <c r="AL7" s="379">
        <v>0</v>
      </c>
      <c r="AM7" s="379">
        <v>0</v>
      </c>
      <c r="AN7" s="379">
        <f>2.64575131106459+(2.64575131106459/8)</f>
        <v>2.9764702249476636</v>
      </c>
      <c r="AO7" s="379">
        <v>0</v>
      </c>
      <c r="AP7" s="379">
        <f>3.16227766016838+(3.16227766016838/10)</f>
        <v>3.478505426185218</v>
      </c>
      <c r="AQ7" s="379">
        <v>0</v>
      </c>
      <c r="AR7" s="379">
        <v>0</v>
      </c>
      <c r="AS7" s="379">
        <v>0</v>
      </c>
      <c r="AT7" s="379">
        <v>0</v>
      </c>
      <c r="AU7" s="379">
        <v>0</v>
      </c>
      <c r="AV7" s="379">
        <v>0</v>
      </c>
      <c r="AW7" s="379">
        <v>0</v>
      </c>
      <c r="AX7" s="379">
        <v>0</v>
      </c>
      <c r="AY7" s="379">
        <v>0</v>
      </c>
      <c r="AZ7" s="379">
        <v>0</v>
      </c>
      <c r="BA7" s="379">
        <v>0</v>
      </c>
      <c r="BB7" s="379">
        <v>0</v>
      </c>
      <c r="BC7" s="379">
        <v>0</v>
      </c>
      <c r="BD7" s="379">
        <v>0</v>
      </c>
    </row>
    <row r="8" spans="1:56" x14ac:dyDescent="0.25">
      <c r="A8" s="378">
        <v>6</v>
      </c>
      <c r="B8" s="376" t="s">
        <v>1</v>
      </c>
      <c r="C8" s="379">
        <v>0</v>
      </c>
      <c r="D8" s="379">
        <v>0</v>
      </c>
      <c r="E8" s="379">
        <v>0</v>
      </c>
      <c r="F8" s="379">
        <v>0</v>
      </c>
      <c r="G8" s="379">
        <v>0</v>
      </c>
      <c r="H8" s="379">
        <v>0</v>
      </c>
      <c r="I8" s="379">
        <v>0</v>
      </c>
      <c r="J8" s="379">
        <v>0</v>
      </c>
      <c r="K8" s="379">
        <v>0</v>
      </c>
      <c r="L8" s="379">
        <v>0</v>
      </c>
      <c r="M8" s="379">
        <v>0</v>
      </c>
      <c r="N8" s="379">
        <v>0</v>
      </c>
      <c r="O8" s="379">
        <v>0</v>
      </c>
      <c r="P8" s="379">
        <v>0</v>
      </c>
      <c r="Q8" s="379">
        <f>2.23606797749979+(1.17124557190675/10)</f>
        <v>2.3531925346904647</v>
      </c>
      <c r="R8" s="379">
        <v>0</v>
      </c>
      <c r="S8" s="379">
        <v>0</v>
      </c>
      <c r="T8" s="379">
        <v>0</v>
      </c>
      <c r="U8" s="379">
        <v>0</v>
      </c>
      <c r="V8" s="381">
        <v>0</v>
      </c>
      <c r="W8" s="379">
        <f>4.24264068711928+(3.13896484116559/16)</f>
        <v>4.4388259896921296</v>
      </c>
      <c r="X8" s="379">
        <v>1.3224552779873899</v>
      </c>
      <c r="Y8" s="379">
        <v>1.3224552779873899</v>
      </c>
      <c r="Z8" s="379">
        <v>0</v>
      </c>
      <c r="AA8" s="379">
        <v>0</v>
      </c>
      <c r="AB8" s="379">
        <v>0</v>
      </c>
      <c r="AC8" s="379">
        <v>0</v>
      </c>
      <c r="AD8" s="379">
        <v>0</v>
      </c>
      <c r="AE8" s="379">
        <v>0</v>
      </c>
      <c r="AF8" s="379">
        <v>0</v>
      </c>
      <c r="AG8" s="379">
        <v>0</v>
      </c>
      <c r="AH8" s="379">
        <v>0</v>
      </c>
      <c r="AI8" s="379">
        <v>0</v>
      </c>
      <c r="AJ8" s="379">
        <v>0</v>
      </c>
      <c r="AK8" s="379">
        <f>1.41640222621962+(1.41497117678151/12)</f>
        <v>1.5343164909514126</v>
      </c>
      <c r="AL8" s="379">
        <v>0</v>
      </c>
      <c r="AM8" s="379">
        <v>0</v>
      </c>
      <c r="AN8" s="379">
        <v>0</v>
      </c>
      <c r="AO8" s="379">
        <v>0</v>
      </c>
      <c r="AP8" s="379">
        <v>0</v>
      </c>
      <c r="AQ8" s="379">
        <v>0</v>
      </c>
      <c r="AR8" s="379">
        <v>0</v>
      </c>
      <c r="AS8" s="379">
        <v>0</v>
      </c>
      <c r="AT8" s="379">
        <v>0</v>
      </c>
      <c r="AU8" s="379">
        <v>0</v>
      </c>
      <c r="AV8" s="379">
        <v>0</v>
      </c>
      <c r="AW8" s="379">
        <v>0</v>
      </c>
      <c r="AX8" s="379">
        <v>0</v>
      </c>
      <c r="AY8" s="379">
        <v>0</v>
      </c>
      <c r="AZ8" s="379">
        <v>0</v>
      </c>
      <c r="BA8" s="379">
        <v>0</v>
      </c>
      <c r="BB8" s="379">
        <v>0</v>
      </c>
      <c r="BC8" s="379">
        <v>0</v>
      </c>
      <c r="BD8" s="379">
        <v>0</v>
      </c>
    </row>
    <row r="9" spans="1:56" x14ac:dyDescent="0.25">
      <c r="A9" s="378">
        <v>7</v>
      </c>
      <c r="B9" s="361" t="s">
        <v>723</v>
      </c>
      <c r="C9" s="379">
        <v>0</v>
      </c>
      <c r="D9" s="379">
        <v>0</v>
      </c>
      <c r="E9" s="379">
        <v>0</v>
      </c>
      <c r="F9" s="379">
        <v>2</v>
      </c>
      <c r="G9" s="379">
        <v>0</v>
      </c>
      <c r="H9" s="379">
        <v>0</v>
      </c>
      <c r="I9" s="379">
        <v>0</v>
      </c>
      <c r="J9" s="379">
        <v>0.95815310205672799</v>
      </c>
      <c r="K9" s="379">
        <f>0.469876604725793+(1.73205080756888/10)</f>
        <v>0.64308168548268108</v>
      </c>
      <c r="L9" s="379">
        <v>1.19964802569416</v>
      </c>
      <c r="M9" s="379">
        <v>0</v>
      </c>
      <c r="N9" s="379">
        <v>1.1805168737665701</v>
      </c>
      <c r="O9" s="379">
        <v>1.24580556130315</v>
      </c>
      <c r="P9" s="379">
        <v>2.3176400351102302</v>
      </c>
      <c r="Q9" s="379">
        <f>2.19467923612634+(1.17124557190675/10)</f>
        <v>2.311803793317015</v>
      </c>
      <c r="R9" s="379">
        <f>1.38121213690238+(2/8)</f>
        <v>1.63121213690238</v>
      </c>
      <c r="S9" s="379">
        <v>1.1712164189759999</v>
      </c>
      <c r="T9" s="379">
        <v>0.81593059599552797</v>
      </c>
      <c r="U9" s="379">
        <v>2.4494897427831801</v>
      </c>
      <c r="V9" s="381">
        <v>0</v>
      </c>
      <c r="W9" s="379">
        <f>3.14538580147835+(3.13896484116559/16)</f>
        <v>3.3415711040511993</v>
      </c>
      <c r="X9" s="379">
        <v>1.3004110652188701</v>
      </c>
      <c r="Y9" s="379">
        <v>1.3004110652188701</v>
      </c>
      <c r="Z9" s="379">
        <v>0.94148730345265697</v>
      </c>
      <c r="AA9" s="379">
        <v>0.56568542494923801</v>
      </c>
      <c r="AB9" s="379">
        <v>0</v>
      </c>
      <c r="AC9" s="379">
        <v>0</v>
      </c>
      <c r="AD9" s="379">
        <v>0.43139914120049799</v>
      </c>
      <c r="AE9" s="379">
        <v>1.6422636204329499</v>
      </c>
      <c r="AF9" s="379">
        <v>0.35916534917411902</v>
      </c>
      <c r="AG9" s="379">
        <v>1.41877754883737</v>
      </c>
      <c r="AH9" s="379">
        <v>4.1231056256176597</v>
      </c>
      <c r="AI9" s="379">
        <f>2.11012631121291+(3.33204954107276/21)</f>
        <v>2.2687953369782794</v>
      </c>
      <c r="AJ9" s="379">
        <v>0</v>
      </c>
      <c r="AK9" s="379">
        <f>0.800643736071918+(1.41497117678151/12)</f>
        <v>0.91855800080371042</v>
      </c>
      <c r="AL9" s="379">
        <v>0</v>
      </c>
      <c r="AM9" s="379">
        <v>0</v>
      </c>
      <c r="AN9" s="379">
        <v>0</v>
      </c>
      <c r="AO9" s="379">
        <v>0</v>
      </c>
      <c r="AP9" s="379">
        <f>2.17796955063985+(3.16227766016838/10)</f>
        <v>2.4941973166566882</v>
      </c>
      <c r="AQ9" s="379">
        <v>0</v>
      </c>
      <c r="AR9" s="379">
        <v>0</v>
      </c>
      <c r="AS9" s="379">
        <v>0</v>
      </c>
      <c r="AT9" s="379">
        <v>1.3867611537323099</v>
      </c>
      <c r="AU9" s="379">
        <f>1.36060667816318+(2/14)</f>
        <v>1.5034638210203228</v>
      </c>
      <c r="AV9" s="379">
        <v>0</v>
      </c>
      <c r="AW9" s="379">
        <v>0</v>
      </c>
      <c r="AX9" s="379">
        <v>0</v>
      </c>
      <c r="AY9" s="379">
        <v>0</v>
      </c>
      <c r="AZ9" s="379">
        <v>0</v>
      </c>
      <c r="BA9" s="379">
        <v>0</v>
      </c>
      <c r="BB9" s="379">
        <v>0</v>
      </c>
      <c r="BC9" s="379">
        <v>0</v>
      </c>
      <c r="BD9" s="379">
        <v>0</v>
      </c>
    </row>
    <row r="10" spans="1:56" x14ac:dyDescent="0.25">
      <c r="A10" s="378">
        <v>8</v>
      </c>
      <c r="B10" s="376" t="s">
        <v>7</v>
      </c>
      <c r="C10" s="379">
        <v>0</v>
      </c>
      <c r="D10" s="379">
        <v>0</v>
      </c>
      <c r="E10" s="379">
        <v>0</v>
      </c>
      <c r="F10" s="379">
        <v>0</v>
      </c>
      <c r="G10" s="379">
        <v>0</v>
      </c>
      <c r="H10" s="379">
        <v>0</v>
      </c>
      <c r="I10" s="379">
        <v>0</v>
      </c>
      <c r="J10" s="379">
        <v>0</v>
      </c>
      <c r="K10" s="379">
        <v>0</v>
      </c>
      <c r="L10" s="379">
        <v>2.77856548335353</v>
      </c>
      <c r="M10" s="379">
        <v>0</v>
      </c>
      <c r="N10" s="379">
        <v>1.94320535439201</v>
      </c>
      <c r="O10" s="379">
        <v>1.7320508075688801</v>
      </c>
      <c r="P10" s="379">
        <v>0</v>
      </c>
      <c r="Q10" s="379">
        <v>0</v>
      </c>
      <c r="R10" s="379">
        <v>0</v>
      </c>
      <c r="S10" s="379">
        <v>0</v>
      </c>
      <c r="T10" s="379">
        <v>0</v>
      </c>
      <c r="U10" s="379">
        <v>0</v>
      </c>
      <c r="V10" s="381">
        <v>0</v>
      </c>
      <c r="W10" s="379">
        <v>0</v>
      </c>
      <c r="X10" s="379">
        <v>0</v>
      </c>
      <c r="Y10" s="379">
        <v>0</v>
      </c>
      <c r="Z10" s="379">
        <v>0</v>
      </c>
      <c r="AA10" s="379">
        <v>0</v>
      </c>
      <c r="AB10" s="379">
        <v>0</v>
      </c>
      <c r="AC10" s="379">
        <v>0</v>
      </c>
      <c r="AD10" s="379">
        <v>0</v>
      </c>
      <c r="AE10" s="379">
        <v>2.6457513110645898</v>
      </c>
      <c r="AF10" s="379">
        <v>0</v>
      </c>
      <c r="AG10" s="379">
        <v>3</v>
      </c>
      <c r="AH10" s="379">
        <v>0</v>
      </c>
      <c r="AI10" s="379">
        <v>0</v>
      </c>
      <c r="AJ10" s="379">
        <v>0</v>
      </c>
      <c r="AK10" s="379">
        <f>1.28601672227248+(1.41497117678151/12)</f>
        <v>1.4039309870042727</v>
      </c>
      <c r="AL10" s="379">
        <v>0</v>
      </c>
      <c r="AM10" s="379">
        <v>0</v>
      </c>
      <c r="AN10" s="379">
        <f>2.64575131106459+(2.64575131106459/8)</f>
        <v>2.9764702249476636</v>
      </c>
      <c r="AO10" s="379">
        <v>0</v>
      </c>
      <c r="AP10" s="379">
        <v>0</v>
      </c>
      <c r="AQ10" s="379">
        <v>0</v>
      </c>
      <c r="AR10" s="379">
        <v>0</v>
      </c>
      <c r="AS10" s="379">
        <v>0</v>
      </c>
      <c r="AT10" s="379">
        <v>0</v>
      </c>
      <c r="AU10" s="379">
        <v>0</v>
      </c>
      <c r="AV10" s="379">
        <v>0</v>
      </c>
      <c r="AW10" s="379">
        <v>0</v>
      </c>
      <c r="AX10" s="379">
        <v>0</v>
      </c>
      <c r="AY10" s="379">
        <v>0</v>
      </c>
      <c r="AZ10" s="379">
        <v>0</v>
      </c>
      <c r="BA10" s="379">
        <v>0</v>
      </c>
      <c r="BB10" s="379">
        <v>0</v>
      </c>
      <c r="BC10" s="379">
        <v>0</v>
      </c>
      <c r="BD10" s="379">
        <v>0</v>
      </c>
    </row>
    <row r="11" spans="1:56" x14ac:dyDescent="0.25">
      <c r="A11" s="378">
        <v>9</v>
      </c>
      <c r="B11" s="376" t="s">
        <v>395</v>
      </c>
      <c r="C11" s="379">
        <v>0</v>
      </c>
      <c r="D11" s="379">
        <v>0</v>
      </c>
      <c r="E11" s="379">
        <v>0</v>
      </c>
      <c r="F11" s="379">
        <v>0</v>
      </c>
      <c r="G11" s="379">
        <v>0</v>
      </c>
      <c r="H11" s="379">
        <v>0</v>
      </c>
      <c r="I11" s="379">
        <v>0</v>
      </c>
      <c r="J11" s="379">
        <v>3.74165738677394</v>
      </c>
      <c r="K11" s="379">
        <v>0</v>
      </c>
      <c r="L11" s="379">
        <v>0</v>
      </c>
      <c r="M11" s="379">
        <v>0</v>
      </c>
      <c r="N11" s="379">
        <v>0</v>
      </c>
      <c r="O11" s="379">
        <v>1.7320508075688801</v>
      </c>
      <c r="P11" s="379">
        <v>0</v>
      </c>
      <c r="Q11" s="379">
        <v>0</v>
      </c>
      <c r="R11" s="379">
        <v>0</v>
      </c>
      <c r="S11" s="379">
        <v>0</v>
      </c>
      <c r="T11" s="379">
        <v>0</v>
      </c>
      <c r="U11" s="379">
        <v>0</v>
      </c>
      <c r="V11" s="381">
        <v>2.2318731615497658</v>
      </c>
      <c r="W11" s="379">
        <f>2.8017611467421+(3.13896484116559/16)</f>
        <v>2.9979464493149495</v>
      </c>
      <c r="X11" s="379">
        <v>0</v>
      </c>
      <c r="Y11" s="379">
        <v>0</v>
      </c>
      <c r="Z11" s="379">
        <v>1.09435115549644</v>
      </c>
      <c r="AA11" s="379">
        <v>0.148600952834954</v>
      </c>
      <c r="AB11" s="386" t="s">
        <v>2957</v>
      </c>
      <c r="AC11" s="379">
        <f>2.28084146320666+(3.17251677289325/17)</f>
        <v>2.4674600969062626</v>
      </c>
      <c r="AD11" s="379">
        <v>0</v>
      </c>
      <c r="AE11" s="379">
        <v>0</v>
      </c>
      <c r="AF11" s="379">
        <v>0</v>
      </c>
      <c r="AG11" s="379">
        <v>0</v>
      </c>
      <c r="AH11" s="379">
        <v>3.2091755871415901</v>
      </c>
      <c r="AI11" s="379">
        <f>3.00114004365815+(3.33204954107276/21)</f>
        <v>3.1598090694235195</v>
      </c>
      <c r="AJ11" s="379">
        <v>0</v>
      </c>
      <c r="AK11" s="379">
        <v>0</v>
      </c>
      <c r="AL11" s="379">
        <v>0</v>
      </c>
      <c r="AM11" s="379">
        <v>0</v>
      </c>
      <c r="AN11" s="379">
        <v>0</v>
      </c>
      <c r="AO11" s="379">
        <v>0</v>
      </c>
      <c r="AP11" s="379">
        <v>0</v>
      </c>
      <c r="AQ11" s="379">
        <v>0</v>
      </c>
      <c r="AR11" s="379">
        <v>0</v>
      </c>
      <c r="AS11" s="379">
        <v>0</v>
      </c>
      <c r="AT11" s="379">
        <v>0</v>
      </c>
      <c r="AU11" s="379">
        <v>0</v>
      </c>
      <c r="AV11" s="379">
        <v>0</v>
      </c>
      <c r="AW11" s="379">
        <v>0</v>
      </c>
      <c r="AX11" s="379">
        <v>0</v>
      </c>
      <c r="AY11" s="379">
        <v>0</v>
      </c>
      <c r="AZ11" s="379">
        <v>0</v>
      </c>
      <c r="BA11" s="379">
        <v>0</v>
      </c>
      <c r="BB11" s="379">
        <v>0</v>
      </c>
      <c r="BC11" s="379">
        <v>0</v>
      </c>
      <c r="BD11" s="379">
        <v>0</v>
      </c>
    </row>
    <row r="12" spans="1:56" x14ac:dyDescent="0.25">
      <c r="A12" s="378">
        <v>10</v>
      </c>
      <c r="B12" s="361" t="s">
        <v>724</v>
      </c>
      <c r="C12" s="379">
        <v>0</v>
      </c>
      <c r="D12" s="379">
        <v>0</v>
      </c>
      <c r="E12" s="379">
        <v>0</v>
      </c>
      <c r="F12" s="379">
        <v>0</v>
      </c>
      <c r="G12" s="379">
        <v>0</v>
      </c>
      <c r="H12" s="379">
        <v>0</v>
      </c>
      <c r="I12" s="379">
        <v>0</v>
      </c>
      <c r="J12" s="379">
        <v>0</v>
      </c>
      <c r="K12" s="379">
        <v>0</v>
      </c>
      <c r="L12" s="379">
        <v>0</v>
      </c>
      <c r="M12" s="379">
        <v>0</v>
      </c>
      <c r="N12" s="379">
        <v>0</v>
      </c>
      <c r="O12" s="379">
        <v>0</v>
      </c>
      <c r="P12" s="379">
        <v>0</v>
      </c>
      <c r="Q12" s="379">
        <f>2.23606797749979+(1.17124557190675/10)</f>
        <v>2.3531925346904647</v>
      </c>
      <c r="R12" s="379">
        <v>0</v>
      </c>
      <c r="S12" s="379">
        <v>0</v>
      </c>
      <c r="T12" s="379">
        <v>0</v>
      </c>
      <c r="U12" s="379">
        <v>0</v>
      </c>
      <c r="V12" s="381">
        <v>0</v>
      </c>
      <c r="W12" s="379">
        <v>0</v>
      </c>
      <c r="X12" s="379">
        <v>0</v>
      </c>
      <c r="Y12" s="379">
        <v>0</v>
      </c>
      <c r="Z12" s="379">
        <v>0</v>
      </c>
      <c r="AA12" s="379">
        <v>0</v>
      </c>
      <c r="AB12" s="379">
        <v>0</v>
      </c>
      <c r="AC12" s="379">
        <v>0</v>
      </c>
      <c r="AD12" s="379">
        <v>0</v>
      </c>
      <c r="AE12" s="379">
        <v>2.6457513110645898</v>
      </c>
      <c r="AF12" s="379">
        <v>0</v>
      </c>
      <c r="AG12" s="379">
        <v>0</v>
      </c>
      <c r="AH12" s="379">
        <v>0</v>
      </c>
      <c r="AI12" s="379">
        <v>0</v>
      </c>
      <c r="AJ12" s="379">
        <v>0</v>
      </c>
      <c r="AK12" s="379">
        <v>0</v>
      </c>
      <c r="AL12" s="379">
        <v>0</v>
      </c>
      <c r="AM12" s="379">
        <v>0</v>
      </c>
      <c r="AN12" s="379">
        <v>0</v>
      </c>
      <c r="AO12" s="379">
        <v>0</v>
      </c>
      <c r="AP12" s="379">
        <v>0</v>
      </c>
      <c r="AQ12" s="379">
        <v>0</v>
      </c>
      <c r="AR12" s="379">
        <v>0</v>
      </c>
      <c r="AS12" s="379">
        <v>0</v>
      </c>
      <c r="AT12" s="379">
        <v>0</v>
      </c>
      <c r="AU12" s="379">
        <f>2+(2/14)</f>
        <v>2.1428571428571428</v>
      </c>
      <c r="AV12" s="379">
        <v>0</v>
      </c>
      <c r="AW12" s="379">
        <v>0</v>
      </c>
      <c r="AX12" s="379">
        <v>0</v>
      </c>
      <c r="AY12" s="379">
        <v>0</v>
      </c>
      <c r="AZ12" s="379">
        <v>0</v>
      </c>
      <c r="BA12" s="379">
        <v>0</v>
      </c>
      <c r="BB12" s="379">
        <v>0</v>
      </c>
      <c r="BC12" s="379">
        <v>0</v>
      </c>
      <c r="BD12" s="379">
        <v>0</v>
      </c>
    </row>
    <row r="13" spans="1:56" x14ac:dyDescent="0.25">
      <c r="A13" s="378">
        <v>11</v>
      </c>
      <c r="B13" s="376" t="s">
        <v>10</v>
      </c>
      <c r="C13" s="379">
        <v>0</v>
      </c>
      <c r="D13" s="379">
        <v>0</v>
      </c>
      <c r="E13" s="379">
        <v>0</v>
      </c>
      <c r="F13" s="379">
        <v>0</v>
      </c>
      <c r="G13" s="379">
        <v>0</v>
      </c>
      <c r="H13" s="379">
        <v>0</v>
      </c>
      <c r="I13" s="379">
        <v>0</v>
      </c>
      <c r="J13" s="379">
        <v>0</v>
      </c>
      <c r="K13" s="379">
        <v>0</v>
      </c>
      <c r="L13" s="379">
        <v>0.32353825476430498</v>
      </c>
      <c r="M13" s="379">
        <v>0</v>
      </c>
      <c r="N13" s="379">
        <v>0</v>
      </c>
      <c r="O13" s="379">
        <v>0</v>
      </c>
      <c r="P13" s="379">
        <v>0</v>
      </c>
      <c r="Q13" s="379">
        <f>1.50776433868052+(1.17124557190675/10)</f>
        <v>1.6248888958711949</v>
      </c>
      <c r="R13" s="379">
        <v>0</v>
      </c>
      <c r="S13" s="379">
        <v>0</v>
      </c>
      <c r="T13" s="379">
        <v>0</v>
      </c>
      <c r="U13" s="379">
        <v>2.4494897427831801</v>
      </c>
      <c r="V13" s="381">
        <v>0</v>
      </c>
      <c r="W13" s="379">
        <v>0</v>
      </c>
      <c r="X13" s="379">
        <v>0</v>
      </c>
      <c r="Y13" s="379">
        <v>0</v>
      </c>
      <c r="Z13" s="379">
        <v>0</v>
      </c>
      <c r="AA13" s="379">
        <v>0</v>
      </c>
      <c r="AB13" s="379">
        <v>0</v>
      </c>
      <c r="AC13" s="379">
        <v>0</v>
      </c>
      <c r="AD13" s="379">
        <v>0</v>
      </c>
      <c r="AE13" s="379">
        <v>2.6457513110645898</v>
      </c>
      <c r="AF13" s="379">
        <v>0</v>
      </c>
      <c r="AG13" s="379">
        <v>0</v>
      </c>
      <c r="AH13" s="379">
        <v>0</v>
      </c>
      <c r="AI13" s="379">
        <v>0</v>
      </c>
      <c r="AJ13" s="379">
        <v>0</v>
      </c>
      <c r="AK13" s="379">
        <f>1.41421356237306+(1.41497117678151/12)</f>
        <v>1.5321278271048526</v>
      </c>
      <c r="AL13" s="379">
        <v>0</v>
      </c>
      <c r="AM13" s="379">
        <v>0</v>
      </c>
      <c r="AN13" s="379">
        <v>0</v>
      </c>
      <c r="AO13" s="379">
        <v>0</v>
      </c>
      <c r="AP13" s="379">
        <v>0</v>
      </c>
      <c r="AQ13" s="379">
        <v>0</v>
      </c>
      <c r="AR13" s="379">
        <v>0</v>
      </c>
      <c r="AS13" s="379">
        <v>0</v>
      </c>
      <c r="AT13" s="379">
        <v>0</v>
      </c>
      <c r="AU13" s="379">
        <f>0.641145275108695+(2/14)</f>
        <v>0.78400241796583781</v>
      </c>
      <c r="AV13" s="379">
        <v>0</v>
      </c>
      <c r="AW13" s="379">
        <v>0</v>
      </c>
      <c r="AX13" s="379">
        <v>0</v>
      </c>
      <c r="AY13" s="379">
        <v>0</v>
      </c>
      <c r="AZ13" s="379">
        <v>0</v>
      </c>
      <c r="BA13" s="379">
        <v>0</v>
      </c>
      <c r="BB13" s="379">
        <v>0</v>
      </c>
      <c r="BC13" s="379">
        <v>0</v>
      </c>
      <c r="BD13" s="379">
        <v>0</v>
      </c>
    </row>
    <row r="14" spans="1:56" x14ac:dyDescent="0.25">
      <c r="A14" s="378">
        <v>12</v>
      </c>
      <c r="B14" s="361" t="s">
        <v>725</v>
      </c>
      <c r="C14" s="379">
        <v>0</v>
      </c>
      <c r="D14" s="379">
        <v>0</v>
      </c>
      <c r="E14" s="379">
        <v>0</v>
      </c>
      <c r="F14" s="379">
        <v>0</v>
      </c>
      <c r="G14" s="379">
        <v>0</v>
      </c>
      <c r="H14" s="379">
        <v>0</v>
      </c>
      <c r="I14" s="379">
        <v>0</v>
      </c>
      <c r="J14" s="379">
        <v>0</v>
      </c>
      <c r="K14" s="379">
        <v>0</v>
      </c>
      <c r="L14" s="379">
        <v>0</v>
      </c>
      <c r="M14" s="379">
        <v>0</v>
      </c>
      <c r="N14" s="379">
        <v>1.7961212606786401</v>
      </c>
      <c r="O14" s="379">
        <v>0</v>
      </c>
      <c r="P14" s="379">
        <v>0</v>
      </c>
      <c r="Q14" s="379">
        <f>2.23723108185803+(1.17124557190675/10)</f>
        <v>2.354355639048705</v>
      </c>
      <c r="R14" s="379">
        <v>0</v>
      </c>
      <c r="S14" s="379">
        <v>3.16227766016838</v>
      </c>
      <c r="T14" s="379">
        <v>0</v>
      </c>
      <c r="U14" s="379">
        <v>0</v>
      </c>
      <c r="V14" s="381">
        <v>0</v>
      </c>
      <c r="W14" s="379">
        <v>0</v>
      </c>
      <c r="X14" s="379">
        <v>1.33332008973631</v>
      </c>
      <c r="Y14" s="379">
        <v>1.33332008973631</v>
      </c>
      <c r="Z14" s="379">
        <v>0</v>
      </c>
      <c r="AA14" s="379">
        <v>0</v>
      </c>
      <c r="AB14" s="379">
        <v>0</v>
      </c>
      <c r="AC14" s="379">
        <v>0</v>
      </c>
      <c r="AD14" s="379">
        <v>2.6457513110645898</v>
      </c>
      <c r="AE14" s="379">
        <v>0</v>
      </c>
      <c r="AF14" s="379">
        <v>0</v>
      </c>
      <c r="AG14" s="379">
        <v>0</v>
      </c>
      <c r="AH14" s="379">
        <v>0</v>
      </c>
      <c r="AI14" s="379">
        <v>0</v>
      </c>
      <c r="AJ14" s="379">
        <v>0</v>
      </c>
      <c r="AK14" s="379">
        <f>1.2747550355817+(1.41497117678151/12)</f>
        <v>1.3926693003134925</v>
      </c>
      <c r="AL14" s="379">
        <v>0</v>
      </c>
      <c r="AM14" s="379">
        <v>0</v>
      </c>
      <c r="AN14" s="379">
        <v>0</v>
      </c>
      <c r="AO14" s="379">
        <v>0</v>
      </c>
      <c r="AP14" s="379">
        <v>0</v>
      </c>
      <c r="AQ14" s="379">
        <v>0</v>
      </c>
      <c r="AR14" s="379">
        <v>0</v>
      </c>
      <c r="AS14" s="379">
        <v>0</v>
      </c>
      <c r="AT14" s="379">
        <v>0</v>
      </c>
      <c r="AU14" s="379">
        <f>1.34308983546241+(2/14)</f>
        <v>1.4859469783195527</v>
      </c>
      <c r="AV14" s="379">
        <v>0</v>
      </c>
      <c r="AW14" s="379">
        <v>0</v>
      </c>
      <c r="AX14" s="379">
        <v>0</v>
      </c>
      <c r="AY14" s="379">
        <v>0</v>
      </c>
      <c r="AZ14" s="379">
        <v>0</v>
      </c>
      <c r="BA14" s="379">
        <v>0</v>
      </c>
      <c r="BB14" s="379">
        <v>0</v>
      </c>
      <c r="BC14" s="379">
        <v>0</v>
      </c>
      <c r="BD14" s="379">
        <v>0</v>
      </c>
    </row>
    <row r="15" spans="1:56" x14ac:dyDescent="0.25">
      <c r="A15" s="378">
        <v>13</v>
      </c>
      <c r="B15" s="376" t="s">
        <v>401</v>
      </c>
      <c r="C15" s="379">
        <v>0</v>
      </c>
      <c r="D15" s="379">
        <v>0</v>
      </c>
      <c r="E15" s="379">
        <v>0</v>
      </c>
      <c r="F15" s="379">
        <v>0</v>
      </c>
      <c r="G15" s="379">
        <v>0</v>
      </c>
      <c r="H15" s="379">
        <v>0</v>
      </c>
      <c r="I15" s="379">
        <v>0</v>
      </c>
      <c r="J15" s="379">
        <v>0</v>
      </c>
      <c r="K15" s="379">
        <v>0</v>
      </c>
      <c r="L15" s="379">
        <v>0</v>
      </c>
      <c r="M15" s="379">
        <v>0</v>
      </c>
      <c r="N15" s="379">
        <v>0</v>
      </c>
      <c r="O15" s="379">
        <v>0</v>
      </c>
      <c r="P15" s="379">
        <v>0</v>
      </c>
      <c r="Q15" s="379">
        <v>0</v>
      </c>
      <c r="R15" s="379">
        <v>0</v>
      </c>
      <c r="S15" s="379">
        <v>3.16227766016838</v>
      </c>
      <c r="T15" s="379">
        <v>0</v>
      </c>
      <c r="U15" s="379">
        <v>0</v>
      </c>
      <c r="V15" s="382">
        <v>2.233699485803637</v>
      </c>
      <c r="W15" s="379">
        <f>4.21807626606551+(3.13896484116559/16)</f>
        <v>4.4142615686383593</v>
      </c>
      <c r="X15" s="379">
        <v>0</v>
      </c>
      <c r="Y15" s="379">
        <v>0</v>
      </c>
      <c r="Z15" s="379">
        <v>0</v>
      </c>
      <c r="AA15" s="379">
        <v>0</v>
      </c>
      <c r="AB15" s="379">
        <v>2.6783374056467104</v>
      </c>
      <c r="AC15" s="379">
        <f>1.9948382440627+(3.17251677289325/17)</f>
        <v>2.1814568777623027</v>
      </c>
      <c r="AD15" s="379">
        <v>2.6457513110645898</v>
      </c>
      <c r="AE15" s="379">
        <v>0</v>
      </c>
      <c r="AF15" s="379">
        <v>0</v>
      </c>
      <c r="AG15" s="379">
        <v>0</v>
      </c>
      <c r="AH15" s="379">
        <v>2.1201339701175899</v>
      </c>
      <c r="AI15" s="379">
        <f>4.54487965801849+(3.33204954107276/21)</f>
        <v>4.7035486837838594</v>
      </c>
      <c r="AJ15" s="379">
        <v>0</v>
      </c>
      <c r="AK15" s="379">
        <v>0</v>
      </c>
      <c r="AL15" s="379">
        <v>0</v>
      </c>
      <c r="AM15" s="379">
        <v>0</v>
      </c>
      <c r="AN15" s="379">
        <v>0</v>
      </c>
      <c r="AO15" s="379">
        <v>0</v>
      </c>
      <c r="AP15" s="379">
        <v>0</v>
      </c>
      <c r="AQ15" s="379">
        <v>0</v>
      </c>
      <c r="AR15" s="379">
        <v>0.83682430104559702</v>
      </c>
      <c r="AS15" s="379">
        <v>0</v>
      </c>
      <c r="AT15" s="379">
        <v>0</v>
      </c>
      <c r="AU15" s="379">
        <v>0</v>
      </c>
      <c r="AV15" s="379">
        <v>0</v>
      </c>
      <c r="AW15" s="379">
        <v>0</v>
      </c>
      <c r="AX15" s="379">
        <v>2.2360679774997898</v>
      </c>
      <c r="AY15" s="379">
        <v>0</v>
      </c>
      <c r="AZ15" s="379">
        <v>0</v>
      </c>
      <c r="BA15" s="379">
        <v>0</v>
      </c>
      <c r="BB15" s="379">
        <v>0</v>
      </c>
      <c r="BC15" s="379">
        <v>0</v>
      </c>
      <c r="BD15" s="379">
        <v>0</v>
      </c>
    </row>
    <row r="16" spans="1:56" x14ac:dyDescent="0.25">
      <c r="A16" s="378">
        <v>14</v>
      </c>
      <c r="B16" s="376" t="s">
        <v>405</v>
      </c>
      <c r="C16" s="379">
        <v>0</v>
      </c>
      <c r="D16" s="379">
        <v>0</v>
      </c>
      <c r="E16" s="379">
        <v>0</v>
      </c>
      <c r="F16" s="379">
        <v>0</v>
      </c>
      <c r="G16" s="379">
        <v>0</v>
      </c>
      <c r="H16" s="379">
        <v>0</v>
      </c>
      <c r="I16" s="379">
        <v>0</v>
      </c>
      <c r="J16" s="379">
        <v>0</v>
      </c>
      <c r="K16" s="379">
        <v>0</v>
      </c>
      <c r="L16" s="379">
        <v>0</v>
      </c>
      <c r="M16" s="379">
        <v>0</v>
      </c>
      <c r="N16" s="379">
        <v>0</v>
      </c>
      <c r="O16" s="379">
        <v>0</v>
      </c>
      <c r="P16" s="379">
        <v>0</v>
      </c>
      <c r="Q16" s="379">
        <v>0</v>
      </c>
      <c r="R16" s="379">
        <v>0</v>
      </c>
      <c r="S16" s="379">
        <v>0</v>
      </c>
      <c r="T16" s="379">
        <v>0</v>
      </c>
      <c r="U16" s="379">
        <v>0</v>
      </c>
      <c r="V16" s="381">
        <v>0</v>
      </c>
      <c r="W16" s="379">
        <v>0</v>
      </c>
      <c r="X16" s="379">
        <v>0</v>
      </c>
      <c r="Y16" s="379">
        <v>0</v>
      </c>
      <c r="Z16" s="379">
        <v>0</v>
      </c>
      <c r="AA16" s="379">
        <v>0</v>
      </c>
      <c r="AB16" s="385" t="s">
        <v>2956</v>
      </c>
      <c r="AC16" s="379">
        <f>3.74372097666181+(3.17251677289325/17)</f>
        <v>3.930339610361413</v>
      </c>
      <c r="AD16" s="379">
        <v>0</v>
      </c>
      <c r="AE16" s="379">
        <v>0</v>
      </c>
      <c r="AF16" s="379">
        <v>0</v>
      </c>
      <c r="AG16" s="379">
        <v>0</v>
      </c>
      <c r="AH16" s="379">
        <v>0</v>
      </c>
      <c r="AI16" s="379">
        <v>0</v>
      </c>
      <c r="AJ16" s="379">
        <v>0</v>
      </c>
      <c r="AK16" s="379">
        <v>0</v>
      </c>
      <c r="AL16" s="379">
        <v>0</v>
      </c>
      <c r="AM16" s="379">
        <v>0</v>
      </c>
      <c r="AN16" s="379">
        <v>0</v>
      </c>
      <c r="AO16" s="379">
        <v>0</v>
      </c>
      <c r="AP16" s="379">
        <v>0</v>
      </c>
      <c r="AQ16" s="379">
        <v>0</v>
      </c>
      <c r="AR16" s="379">
        <v>0</v>
      </c>
      <c r="AS16" s="379">
        <v>0</v>
      </c>
      <c r="AT16" s="379">
        <v>0</v>
      </c>
      <c r="AU16" s="379">
        <v>0</v>
      </c>
      <c r="AV16" s="379">
        <v>0</v>
      </c>
      <c r="AW16" s="379">
        <v>0</v>
      </c>
      <c r="AX16" s="379">
        <v>0</v>
      </c>
      <c r="AY16" s="379">
        <v>0</v>
      </c>
      <c r="AZ16" s="379">
        <v>0</v>
      </c>
      <c r="BA16" s="379">
        <v>0</v>
      </c>
      <c r="BB16" s="379">
        <v>0</v>
      </c>
      <c r="BC16" s="379">
        <v>0</v>
      </c>
      <c r="BD16" s="379">
        <v>0</v>
      </c>
    </row>
    <row r="17" spans="1:56" x14ac:dyDescent="0.25">
      <c r="A17" s="378">
        <v>15</v>
      </c>
      <c r="B17" s="376" t="s">
        <v>726</v>
      </c>
      <c r="C17" s="379">
        <v>0</v>
      </c>
      <c r="D17" s="379">
        <v>0</v>
      </c>
      <c r="E17" s="379">
        <v>0</v>
      </c>
      <c r="F17" s="379">
        <v>0</v>
      </c>
      <c r="G17" s="379">
        <v>0</v>
      </c>
      <c r="H17" s="379">
        <v>0</v>
      </c>
      <c r="I17" s="379">
        <v>0</v>
      </c>
      <c r="J17" s="379">
        <v>0</v>
      </c>
      <c r="K17" s="379">
        <v>0</v>
      </c>
      <c r="L17" s="379">
        <v>0</v>
      </c>
      <c r="M17" s="379">
        <v>0</v>
      </c>
      <c r="N17" s="379">
        <v>0</v>
      </c>
      <c r="O17" s="379">
        <v>0</v>
      </c>
      <c r="P17" s="379">
        <v>0</v>
      </c>
      <c r="Q17" s="379">
        <v>0</v>
      </c>
      <c r="R17" s="379">
        <v>0</v>
      </c>
      <c r="S17" s="379">
        <v>0</v>
      </c>
      <c r="T17" s="379">
        <v>0</v>
      </c>
      <c r="U17" s="379">
        <v>0</v>
      </c>
      <c r="V17" s="381">
        <v>0</v>
      </c>
      <c r="W17" s="379">
        <f>4.24264068711929+(3.13896484116559/16)</f>
        <v>4.4388259896921394</v>
      </c>
      <c r="X17" s="379">
        <v>0</v>
      </c>
      <c r="Y17" s="379">
        <v>0</v>
      </c>
      <c r="Z17" s="379">
        <v>0</v>
      </c>
      <c r="AA17" s="379">
        <v>0</v>
      </c>
      <c r="AB17" s="379">
        <v>0</v>
      </c>
      <c r="AC17" s="379">
        <v>0</v>
      </c>
      <c r="AD17" s="379">
        <v>2.2644391850067498</v>
      </c>
      <c r="AE17" s="379">
        <v>0</v>
      </c>
      <c r="AF17" s="379">
        <v>0</v>
      </c>
      <c r="AG17" s="379">
        <v>0</v>
      </c>
      <c r="AH17" s="379">
        <v>0</v>
      </c>
      <c r="AI17" s="379">
        <v>0</v>
      </c>
      <c r="AJ17" s="379">
        <v>0</v>
      </c>
      <c r="AK17" s="379">
        <v>0</v>
      </c>
      <c r="AL17" s="379">
        <v>0</v>
      </c>
      <c r="AM17" s="379">
        <v>0</v>
      </c>
      <c r="AN17" s="379">
        <v>0</v>
      </c>
      <c r="AO17" s="379">
        <v>0</v>
      </c>
      <c r="AP17" s="379">
        <v>0</v>
      </c>
      <c r="AQ17" s="379">
        <v>0</v>
      </c>
      <c r="AR17" s="379">
        <v>0</v>
      </c>
      <c r="AS17" s="379">
        <v>0</v>
      </c>
      <c r="AT17" s="379">
        <v>0</v>
      </c>
      <c r="AU17" s="379">
        <v>0</v>
      </c>
      <c r="AV17" s="379">
        <v>0</v>
      </c>
      <c r="AW17" s="379">
        <v>0</v>
      </c>
      <c r="AX17" s="379">
        <v>2.16919079978853</v>
      </c>
      <c r="AY17" s="379">
        <v>0.32732683535398899</v>
      </c>
      <c r="AZ17" s="379">
        <v>0</v>
      </c>
      <c r="BA17" s="379">
        <v>0</v>
      </c>
      <c r="BB17" s="379">
        <v>0</v>
      </c>
      <c r="BC17" s="379">
        <v>0</v>
      </c>
      <c r="BD17" s="379">
        <v>0</v>
      </c>
    </row>
    <row r="18" spans="1:56" x14ac:dyDescent="0.25">
      <c r="A18" s="378">
        <v>16</v>
      </c>
      <c r="B18" s="376" t="s">
        <v>411</v>
      </c>
      <c r="C18" s="379">
        <v>0</v>
      </c>
      <c r="D18" s="379">
        <v>0</v>
      </c>
      <c r="E18" s="379">
        <v>0</v>
      </c>
      <c r="F18" s="379">
        <v>0</v>
      </c>
      <c r="G18" s="379">
        <v>0</v>
      </c>
      <c r="H18" s="379">
        <v>0</v>
      </c>
      <c r="I18" s="379">
        <v>0</v>
      </c>
      <c r="J18" s="379">
        <v>0</v>
      </c>
      <c r="K18" s="379">
        <v>0</v>
      </c>
      <c r="L18" s="379">
        <v>0</v>
      </c>
      <c r="M18" s="379">
        <v>0</v>
      </c>
      <c r="N18" s="379">
        <v>0</v>
      </c>
      <c r="O18" s="379">
        <v>0</v>
      </c>
      <c r="P18" s="379">
        <v>0</v>
      </c>
      <c r="Q18" s="379">
        <v>0</v>
      </c>
      <c r="R18" s="379">
        <v>0</v>
      </c>
      <c r="S18" s="379">
        <v>0</v>
      </c>
      <c r="T18" s="379">
        <v>0</v>
      </c>
      <c r="U18" s="379">
        <v>0</v>
      </c>
      <c r="V18" s="381">
        <v>2.2357082083628166</v>
      </c>
      <c r="W18" s="379">
        <v>0</v>
      </c>
      <c r="X18" s="379">
        <v>0</v>
      </c>
      <c r="Y18" s="379">
        <v>0</v>
      </c>
      <c r="Z18" s="379">
        <v>0</v>
      </c>
      <c r="AA18" s="379">
        <v>0</v>
      </c>
      <c r="AB18" s="379">
        <v>0</v>
      </c>
      <c r="AC18" s="379">
        <f>3.00914370209667+(3.17251677289325/17)</f>
        <v>3.1957623357962728</v>
      </c>
      <c r="AD18" s="379">
        <v>2.6457513110645898</v>
      </c>
      <c r="AE18" s="379">
        <v>0</v>
      </c>
      <c r="AF18" s="379">
        <v>0</v>
      </c>
      <c r="AG18" s="379">
        <v>0</v>
      </c>
      <c r="AH18" s="379">
        <v>4.1231056256176597</v>
      </c>
      <c r="AI18" s="379">
        <f>3.46533182644351+(3.33204954107276/21)</f>
        <v>3.6240008522088796</v>
      </c>
      <c r="AJ18" s="379">
        <v>0</v>
      </c>
      <c r="AK18" s="379">
        <v>0</v>
      </c>
      <c r="AL18" s="379">
        <v>0</v>
      </c>
      <c r="AM18" s="379">
        <v>0</v>
      </c>
      <c r="AN18" s="379">
        <v>0</v>
      </c>
      <c r="AO18" s="379">
        <v>0</v>
      </c>
      <c r="AP18" s="379">
        <v>0</v>
      </c>
      <c r="AQ18" s="379">
        <v>0</v>
      </c>
      <c r="AR18" s="379">
        <v>1.4142135623731</v>
      </c>
      <c r="AS18" s="379">
        <v>0</v>
      </c>
      <c r="AT18" s="379">
        <v>0</v>
      </c>
      <c r="AU18" s="379">
        <v>0</v>
      </c>
      <c r="AV18" s="379">
        <v>0</v>
      </c>
      <c r="AW18" s="379">
        <v>0</v>
      </c>
      <c r="AX18" s="379">
        <v>1.4261360931697</v>
      </c>
      <c r="AY18" s="379">
        <v>0.32732683535398899</v>
      </c>
      <c r="AZ18" s="379">
        <v>0</v>
      </c>
      <c r="BA18" s="379">
        <v>0</v>
      </c>
      <c r="BB18" s="379">
        <v>0</v>
      </c>
      <c r="BC18" s="379">
        <v>0</v>
      </c>
      <c r="BD18" s="379">
        <v>0</v>
      </c>
    </row>
    <row r="19" spans="1:56" x14ac:dyDescent="0.25">
      <c r="A19" s="378">
        <v>17</v>
      </c>
      <c r="B19" s="376" t="s">
        <v>415</v>
      </c>
      <c r="C19" s="379">
        <v>0</v>
      </c>
      <c r="D19" s="379">
        <v>0</v>
      </c>
      <c r="E19" s="379">
        <v>0</v>
      </c>
      <c r="F19" s="379">
        <v>0</v>
      </c>
      <c r="G19" s="379">
        <v>0</v>
      </c>
      <c r="H19" s="379">
        <v>0</v>
      </c>
      <c r="I19" s="379">
        <v>0</v>
      </c>
      <c r="J19" s="379">
        <v>0</v>
      </c>
      <c r="K19" s="379">
        <v>0</v>
      </c>
      <c r="L19" s="379">
        <v>0</v>
      </c>
      <c r="M19" s="379">
        <v>0</v>
      </c>
      <c r="N19" s="379">
        <v>0</v>
      </c>
      <c r="O19" s="379">
        <v>0</v>
      </c>
      <c r="P19" s="379">
        <v>0</v>
      </c>
      <c r="Q19" s="379">
        <v>0</v>
      </c>
      <c r="R19" s="379">
        <v>0</v>
      </c>
      <c r="S19" s="379">
        <v>0</v>
      </c>
      <c r="T19" s="379">
        <v>0</v>
      </c>
      <c r="U19" s="379">
        <v>0</v>
      </c>
      <c r="V19" s="381">
        <v>0</v>
      </c>
      <c r="W19" s="379">
        <v>0</v>
      </c>
      <c r="X19" s="379">
        <v>0</v>
      </c>
      <c r="Y19" s="379">
        <v>0</v>
      </c>
      <c r="Z19" s="379">
        <v>0</v>
      </c>
      <c r="AA19" s="379">
        <v>0</v>
      </c>
      <c r="AB19" s="379">
        <v>1.4405871360242772</v>
      </c>
      <c r="AC19" s="379">
        <f>2.1626198256061+(3.17251677289325/17)</f>
        <v>2.3492384593057034</v>
      </c>
      <c r="AD19" s="379">
        <v>2.4640269015229102</v>
      </c>
      <c r="AE19" s="379">
        <v>0</v>
      </c>
      <c r="AF19" s="379">
        <v>0</v>
      </c>
      <c r="AG19" s="379">
        <v>3</v>
      </c>
      <c r="AH19" s="379">
        <v>2.22005606088267</v>
      </c>
      <c r="AI19" s="384" t="s">
        <v>2958</v>
      </c>
      <c r="AJ19" s="379">
        <v>0</v>
      </c>
      <c r="AK19" s="379">
        <v>0</v>
      </c>
      <c r="AL19" s="379">
        <v>0</v>
      </c>
      <c r="AM19" s="379">
        <v>0</v>
      </c>
      <c r="AN19" s="379">
        <v>0</v>
      </c>
      <c r="AO19" s="379">
        <v>0</v>
      </c>
      <c r="AP19" s="379">
        <v>0</v>
      </c>
      <c r="AQ19" s="379">
        <v>0</v>
      </c>
      <c r="AR19" s="379">
        <v>0.94015344189851802</v>
      </c>
      <c r="AS19" s="379">
        <v>0</v>
      </c>
      <c r="AT19" s="379">
        <v>0</v>
      </c>
      <c r="AU19" s="379">
        <f>2+(2/14)</f>
        <v>2.1428571428571428</v>
      </c>
      <c r="AV19" s="379">
        <v>0</v>
      </c>
      <c r="AW19" s="379">
        <v>0</v>
      </c>
      <c r="AX19" s="379">
        <v>2.1573391465984599</v>
      </c>
      <c r="AY19" s="379">
        <v>0.32732683535398899</v>
      </c>
      <c r="AZ19" s="379">
        <v>0</v>
      </c>
      <c r="BA19" s="379">
        <v>0</v>
      </c>
      <c r="BB19" s="379">
        <v>0</v>
      </c>
      <c r="BC19" s="379">
        <v>0</v>
      </c>
      <c r="BD19" s="379">
        <v>0</v>
      </c>
    </row>
    <row r="20" spans="1:56" x14ac:dyDescent="0.25">
      <c r="A20" s="378">
        <v>18</v>
      </c>
      <c r="B20" s="376" t="s">
        <v>358</v>
      </c>
      <c r="C20" s="379">
        <v>0</v>
      </c>
      <c r="D20" s="379">
        <v>0</v>
      </c>
      <c r="E20" s="379">
        <v>0</v>
      </c>
      <c r="F20" s="379">
        <v>0</v>
      </c>
      <c r="G20" s="379">
        <v>0</v>
      </c>
      <c r="H20" s="379">
        <v>0</v>
      </c>
      <c r="I20" s="379">
        <v>0</v>
      </c>
      <c r="J20" s="379">
        <v>0</v>
      </c>
      <c r="K20" s="379">
        <v>0</v>
      </c>
      <c r="L20" s="379">
        <v>0</v>
      </c>
      <c r="M20" s="379">
        <v>0</v>
      </c>
      <c r="N20" s="379">
        <v>0</v>
      </c>
      <c r="O20" s="379">
        <v>0</v>
      </c>
      <c r="P20" s="379">
        <v>0</v>
      </c>
      <c r="Q20" s="379">
        <v>0</v>
      </c>
      <c r="R20" s="379">
        <v>0</v>
      </c>
      <c r="S20" s="379">
        <v>0</v>
      </c>
      <c r="T20" s="379">
        <v>0</v>
      </c>
      <c r="U20" s="379">
        <v>0</v>
      </c>
      <c r="V20" s="381">
        <v>2.235989717859665</v>
      </c>
      <c r="W20" s="379">
        <v>0</v>
      </c>
      <c r="X20" s="379">
        <v>0</v>
      </c>
      <c r="Y20" s="379">
        <v>0</v>
      </c>
      <c r="Z20" s="379">
        <v>0</v>
      </c>
      <c r="AA20" s="379">
        <v>0</v>
      </c>
      <c r="AB20" s="379">
        <v>3.4822695305924998</v>
      </c>
      <c r="AC20" s="379">
        <f>2.97979187446541+(3.17251677289325/17)</f>
        <v>3.1664105081650131</v>
      </c>
      <c r="AD20" s="379">
        <v>0</v>
      </c>
      <c r="AE20" s="379">
        <v>0</v>
      </c>
      <c r="AF20" s="379">
        <v>0</v>
      </c>
      <c r="AG20" s="379">
        <v>0</v>
      </c>
      <c r="AH20" s="379">
        <v>0</v>
      </c>
      <c r="AI20" s="379">
        <f>4.06104909091161+(3.33204954107276/21)</f>
        <v>4.2197181166769795</v>
      </c>
      <c r="AJ20" s="379">
        <v>0</v>
      </c>
      <c r="AK20" s="379">
        <v>0</v>
      </c>
      <c r="AL20" s="379">
        <v>0</v>
      </c>
      <c r="AM20" s="379">
        <v>0</v>
      </c>
      <c r="AN20" s="379">
        <v>0</v>
      </c>
      <c r="AO20" s="379">
        <v>0</v>
      </c>
      <c r="AP20" s="379">
        <v>0</v>
      </c>
      <c r="AQ20" s="379">
        <v>0</v>
      </c>
      <c r="AR20" s="379">
        <v>1.3161178239425899</v>
      </c>
      <c r="AS20" s="379">
        <v>0</v>
      </c>
      <c r="AT20" s="379">
        <v>0</v>
      </c>
      <c r="AU20" s="379">
        <v>0</v>
      </c>
      <c r="AV20" s="379">
        <v>0</v>
      </c>
      <c r="AW20" s="379">
        <v>0</v>
      </c>
      <c r="AX20" s="379">
        <v>1.4331741593496901</v>
      </c>
      <c r="AY20" s="379">
        <v>0.32732683535398899</v>
      </c>
      <c r="AZ20" s="379">
        <v>0</v>
      </c>
      <c r="BA20" s="379">
        <v>0</v>
      </c>
      <c r="BB20" s="379">
        <v>0</v>
      </c>
      <c r="BC20" s="379">
        <v>0</v>
      </c>
      <c r="BD20" s="379">
        <v>0</v>
      </c>
    </row>
    <row r="21" spans="1:56" x14ac:dyDescent="0.25">
      <c r="A21" s="378">
        <v>19</v>
      </c>
      <c r="B21" s="376" t="s">
        <v>546</v>
      </c>
      <c r="C21" s="379">
        <v>0</v>
      </c>
      <c r="D21" s="379">
        <v>0</v>
      </c>
      <c r="E21" s="379">
        <v>0</v>
      </c>
      <c r="F21" s="379">
        <v>0</v>
      </c>
      <c r="G21" s="379">
        <v>0</v>
      </c>
      <c r="H21" s="379">
        <v>0</v>
      </c>
      <c r="I21" s="379">
        <v>0</v>
      </c>
      <c r="J21" s="379">
        <v>0</v>
      </c>
      <c r="K21" s="379">
        <v>0</v>
      </c>
      <c r="L21" s="379">
        <v>0</v>
      </c>
      <c r="M21" s="379">
        <v>0</v>
      </c>
      <c r="N21" s="379">
        <v>0</v>
      </c>
      <c r="O21" s="379">
        <v>0</v>
      </c>
      <c r="P21" s="379">
        <v>0</v>
      </c>
      <c r="Q21" s="379">
        <v>0</v>
      </c>
      <c r="R21" s="379">
        <v>0</v>
      </c>
      <c r="S21" s="379">
        <v>0</v>
      </c>
      <c r="T21" s="379">
        <v>0</v>
      </c>
      <c r="U21" s="379">
        <v>0</v>
      </c>
      <c r="V21" s="381">
        <v>2.235989717859665</v>
      </c>
      <c r="W21" s="379">
        <v>0</v>
      </c>
      <c r="X21" s="379">
        <v>0</v>
      </c>
      <c r="Y21" s="379">
        <v>0</v>
      </c>
      <c r="Z21" s="379">
        <v>0</v>
      </c>
      <c r="AA21" s="379">
        <v>0</v>
      </c>
      <c r="AB21" s="379">
        <v>2.6726124191242411</v>
      </c>
      <c r="AC21" s="379">
        <v>0</v>
      </c>
      <c r="AD21" s="379">
        <v>0</v>
      </c>
      <c r="AE21" s="379">
        <v>0</v>
      </c>
      <c r="AF21" s="379">
        <v>0</v>
      </c>
      <c r="AG21" s="379">
        <v>0</v>
      </c>
      <c r="AH21" s="379">
        <v>0</v>
      </c>
      <c r="AI21" s="384" t="s">
        <v>2959</v>
      </c>
      <c r="AJ21" s="379">
        <v>0</v>
      </c>
      <c r="AK21" s="379">
        <v>0</v>
      </c>
      <c r="AL21" s="379">
        <v>0</v>
      </c>
      <c r="AM21" s="379">
        <v>0</v>
      </c>
      <c r="AN21" s="379">
        <v>0</v>
      </c>
      <c r="AO21" s="379">
        <v>0</v>
      </c>
      <c r="AP21" s="379">
        <v>0</v>
      </c>
      <c r="AQ21" s="379">
        <v>0</v>
      </c>
      <c r="AR21" s="379">
        <v>1.0137937550497</v>
      </c>
      <c r="AS21" s="379">
        <v>0</v>
      </c>
      <c r="AT21" s="379">
        <v>0</v>
      </c>
      <c r="AU21" s="379">
        <v>0</v>
      </c>
      <c r="AV21" s="379">
        <v>0</v>
      </c>
      <c r="AW21" s="379">
        <v>0</v>
      </c>
      <c r="AX21" s="379">
        <v>1.5370884910879601</v>
      </c>
      <c r="AY21" s="379">
        <v>0.32732683535398899</v>
      </c>
      <c r="AZ21" s="379">
        <v>0</v>
      </c>
      <c r="BA21" s="379">
        <v>0</v>
      </c>
      <c r="BB21" s="379">
        <v>0</v>
      </c>
      <c r="BC21" s="379">
        <v>0</v>
      </c>
      <c r="BD21" s="379">
        <v>0</v>
      </c>
    </row>
    <row r="22" spans="1:56" x14ac:dyDescent="0.25">
      <c r="A22" s="378">
        <v>20</v>
      </c>
      <c r="B22" s="376" t="s">
        <v>424</v>
      </c>
      <c r="C22" s="379">
        <v>0</v>
      </c>
      <c r="D22" s="379">
        <v>0</v>
      </c>
      <c r="E22" s="379">
        <v>0</v>
      </c>
      <c r="F22" s="379">
        <v>0</v>
      </c>
      <c r="G22" s="379">
        <v>0</v>
      </c>
      <c r="H22" s="379">
        <v>0</v>
      </c>
      <c r="I22" s="379">
        <v>0</v>
      </c>
      <c r="J22" s="379">
        <v>0</v>
      </c>
      <c r="K22" s="379">
        <v>0</v>
      </c>
      <c r="L22" s="379">
        <v>0</v>
      </c>
      <c r="M22" s="379">
        <v>0</v>
      </c>
      <c r="N22" s="379">
        <v>0</v>
      </c>
      <c r="O22" s="379">
        <v>0</v>
      </c>
      <c r="P22" s="379">
        <v>0</v>
      </c>
      <c r="Q22" s="379">
        <v>0</v>
      </c>
      <c r="R22" s="379">
        <v>0</v>
      </c>
      <c r="S22" s="379">
        <v>0</v>
      </c>
      <c r="T22" s="379">
        <v>0</v>
      </c>
      <c r="U22" s="379">
        <v>0</v>
      </c>
      <c r="V22" s="381">
        <v>0</v>
      </c>
      <c r="W22" s="379">
        <v>0</v>
      </c>
      <c r="X22" s="379">
        <v>0</v>
      </c>
      <c r="Y22" s="379">
        <v>0</v>
      </c>
      <c r="Z22" s="379">
        <v>0</v>
      </c>
      <c r="AA22" s="379">
        <v>0</v>
      </c>
      <c r="AB22" s="379">
        <v>0</v>
      </c>
      <c r="AC22" s="379">
        <v>0</v>
      </c>
      <c r="AD22" s="379">
        <v>0</v>
      </c>
      <c r="AE22" s="379">
        <v>0</v>
      </c>
      <c r="AF22" s="379">
        <v>0</v>
      </c>
      <c r="AG22" s="379">
        <v>0</v>
      </c>
      <c r="AH22" s="379">
        <v>0</v>
      </c>
      <c r="AI22" s="379">
        <v>0</v>
      </c>
      <c r="AJ22" s="379">
        <v>0</v>
      </c>
      <c r="AK22" s="379">
        <v>0</v>
      </c>
      <c r="AL22" s="379">
        <v>0</v>
      </c>
      <c r="AM22" s="379">
        <v>0</v>
      </c>
      <c r="AN22" s="379">
        <v>0</v>
      </c>
      <c r="AO22" s="379">
        <v>0</v>
      </c>
      <c r="AP22" s="379">
        <v>0</v>
      </c>
      <c r="AQ22" s="379">
        <v>0</v>
      </c>
      <c r="AR22" s="379">
        <v>0</v>
      </c>
      <c r="AS22" s="379">
        <v>0</v>
      </c>
      <c r="AT22" s="379">
        <v>0</v>
      </c>
      <c r="AU22" s="379">
        <v>0</v>
      </c>
      <c r="AV22" s="379">
        <v>0</v>
      </c>
      <c r="AW22" s="379">
        <v>0</v>
      </c>
      <c r="AX22" s="379">
        <v>0</v>
      </c>
      <c r="AY22" s="379">
        <v>0</v>
      </c>
      <c r="AZ22" s="379">
        <v>0</v>
      </c>
      <c r="BA22" s="379">
        <v>0</v>
      </c>
      <c r="BB22" s="379">
        <v>0</v>
      </c>
      <c r="BC22" s="379">
        <v>0</v>
      </c>
      <c r="BD22" s="379">
        <v>0</v>
      </c>
    </row>
    <row r="23" spans="1:56" x14ac:dyDescent="0.25">
      <c r="A23" s="378">
        <v>21</v>
      </c>
      <c r="B23" s="376" t="s">
        <v>427</v>
      </c>
      <c r="C23" s="379">
        <v>0</v>
      </c>
      <c r="D23" s="379">
        <v>0</v>
      </c>
      <c r="E23" s="379">
        <v>0</v>
      </c>
      <c r="F23" s="379">
        <v>0</v>
      </c>
      <c r="G23" s="379">
        <v>0</v>
      </c>
      <c r="H23" s="379">
        <v>0</v>
      </c>
      <c r="I23" s="379">
        <v>0</v>
      </c>
      <c r="J23" s="379">
        <v>0</v>
      </c>
      <c r="K23" s="379">
        <v>0</v>
      </c>
      <c r="L23" s="379">
        <v>0</v>
      </c>
      <c r="M23" s="379">
        <v>0</v>
      </c>
      <c r="N23" s="379">
        <v>0</v>
      </c>
      <c r="O23" s="379">
        <v>0</v>
      </c>
      <c r="P23" s="379">
        <v>0</v>
      </c>
      <c r="Q23" s="379">
        <v>0</v>
      </c>
      <c r="R23" s="379">
        <v>0</v>
      </c>
      <c r="S23" s="379">
        <v>0</v>
      </c>
      <c r="T23" s="379">
        <v>0</v>
      </c>
      <c r="U23" s="379">
        <v>0</v>
      </c>
      <c r="V23" s="381">
        <v>0</v>
      </c>
      <c r="W23" s="379">
        <v>0</v>
      </c>
      <c r="X23" s="379">
        <v>0</v>
      </c>
      <c r="Y23" s="379">
        <v>0</v>
      </c>
      <c r="Z23" s="379">
        <v>0</v>
      </c>
      <c r="AA23" s="379">
        <v>0</v>
      </c>
      <c r="AB23" s="379">
        <v>2.6726124191242437</v>
      </c>
      <c r="AC23" s="379">
        <f>3.74283206022054+(3.17251677289325/17)</f>
        <v>3.9294506939201428</v>
      </c>
      <c r="AD23" s="379">
        <v>0</v>
      </c>
      <c r="AE23" s="379">
        <v>0</v>
      </c>
      <c r="AF23" s="379">
        <v>0</v>
      </c>
      <c r="AG23" s="379">
        <v>0</v>
      </c>
      <c r="AH23" s="379">
        <v>0</v>
      </c>
      <c r="AI23" s="379">
        <v>0</v>
      </c>
      <c r="AJ23" s="379">
        <v>0</v>
      </c>
      <c r="AK23" s="379">
        <v>0</v>
      </c>
      <c r="AL23" s="379">
        <v>0</v>
      </c>
      <c r="AM23" s="379">
        <v>0</v>
      </c>
      <c r="AN23" s="379">
        <v>0</v>
      </c>
      <c r="AO23" s="379">
        <v>0</v>
      </c>
      <c r="AP23" s="379">
        <v>0</v>
      </c>
      <c r="AQ23" s="379">
        <v>0</v>
      </c>
      <c r="AR23" s="379">
        <v>0</v>
      </c>
      <c r="AS23" s="379">
        <v>0</v>
      </c>
      <c r="AT23" s="379">
        <v>0</v>
      </c>
      <c r="AU23" s="379">
        <v>0</v>
      </c>
      <c r="AV23" s="379">
        <v>0</v>
      </c>
      <c r="AW23" s="379">
        <v>0</v>
      </c>
      <c r="AX23" s="379">
        <v>2.16919079978853</v>
      </c>
      <c r="AY23" s="379">
        <v>0.32732683535398899</v>
      </c>
      <c r="AZ23" s="379">
        <v>0</v>
      </c>
      <c r="BA23" s="379">
        <v>0</v>
      </c>
      <c r="BB23" s="379">
        <v>0</v>
      </c>
      <c r="BC23" s="379">
        <v>0</v>
      </c>
      <c r="BD23" s="379">
        <v>0</v>
      </c>
    </row>
    <row r="24" spans="1:56" x14ac:dyDescent="0.25">
      <c r="A24" s="378">
        <v>22</v>
      </c>
      <c r="B24" s="376" t="s">
        <v>556</v>
      </c>
      <c r="C24" s="379">
        <v>0</v>
      </c>
      <c r="D24" s="379">
        <v>0</v>
      </c>
      <c r="E24" s="379">
        <v>0</v>
      </c>
      <c r="F24" s="379">
        <v>0</v>
      </c>
      <c r="G24" s="379">
        <v>0</v>
      </c>
      <c r="H24" s="379">
        <v>0</v>
      </c>
      <c r="I24" s="379">
        <v>0</v>
      </c>
      <c r="J24" s="379">
        <v>0</v>
      </c>
      <c r="K24" s="379">
        <v>0</v>
      </c>
      <c r="L24" s="379">
        <v>0</v>
      </c>
      <c r="M24" s="379">
        <v>0</v>
      </c>
      <c r="N24" s="379">
        <v>0</v>
      </c>
      <c r="O24" s="379">
        <v>0</v>
      </c>
      <c r="P24" s="379">
        <v>0</v>
      </c>
      <c r="Q24" s="379">
        <v>0</v>
      </c>
      <c r="R24" s="379">
        <v>0</v>
      </c>
      <c r="S24" s="379">
        <v>0</v>
      </c>
      <c r="T24" s="379">
        <v>0</v>
      </c>
      <c r="U24" s="379">
        <v>0</v>
      </c>
      <c r="V24" s="381">
        <v>0</v>
      </c>
      <c r="W24" s="379">
        <v>0</v>
      </c>
      <c r="X24" s="379">
        <v>0</v>
      </c>
      <c r="Y24" s="379">
        <v>0</v>
      </c>
      <c r="Z24" s="379">
        <v>0</v>
      </c>
      <c r="AA24" s="379">
        <v>0</v>
      </c>
      <c r="AB24" s="379">
        <v>0</v>
      </c>
      <c r="AC24" s="379">
        <v>0</v>
      </c>
      <c r="AD24" s="379">
        <v>0</v>
      </c>
      <c r="AE24" s="379">
        <v>0</v>
      </c>
      <c r="AF24" s="379">
        <v>0</v>
      </c>
      <c r="AG24" s="379">
        <v>0</v>
      </c>
      <c r="AH24" s="379">
        <v>0</v>
      </c>
      <c r="AI24" s="379">
        <v>0</v>
      </c>
      <c r="AJ24" s="379">
        <v>0</v>
      </c>
      <c r="AK24" s="379">
        <f>1.40987548396094+(1.41497117678151/12)</f>
        <v>1.5277897486927325</v>
      </c>
      <c r="AL24" s="379">
        <v>0</v>
      </c>
      <c r="AM24" s="379">
        <v>0</v>
      </c>
      <c r="AN24" s="379">
        <v>0</v>
      </c>
      <c r="AO24" s="379">
        <v>0</v>
      </c>
      <c r="AP24" s="379">
        <v>0</v>
      </c>
      <c r="AQ24" s="379">
        <v>0</v>
      </c>
      <c r="AR24" s="379">
        <v>0</v>
      </c>
      <c r="AS24" s="379">
        <v>0</v>
      </c>
      <c r="AT24" s="379">
        <v>0</v>
      </c>
      <c r="AU24" s="379">
        <f>2+(2/14)</f>
        <v>2.1428571428571428</v>
      </c>
      <c r="AV24" s="379">
        <v>0</v>
      </c>
      <c r="AW24" s="379">
        <v>0</v>
      </c>
      <c r="AX24" s="379">
        <v>2.2360679774997898</v>
      </c>
      <c r="AY24" s="379">
        <v>0.32732683535398899</v>
      </c>
      <c r="AZ24" s="379">
        <v>0</v>
      </c>
      <c r="BA24" s="379">
        <v>0</v>
      </c>
      <c r="BB24" s="379">
        <v>0</v>
      </c>
      <c r="BC24" s="379">
        <v>0</v>
      </c>
      <c r="BD24" s="379">
        <v>0</v>
      </c>
    </row>
    <row r="25" spans="1:56" x14ac:dyDescent="0.25">
      <c r="A25" s="378">
        <v>23</v>
      </c>
      <c r="B25" s="376" t="s">
        <v>2955</v>
      </c>
      <c r="C25" s="379">
        <v>0</v>
      </c>
      <c r="D25" s="379">
        <v>0</v>
      </c>
      <c r="E25" s="379">
        <v>0</v>
      </c>
      <c r="F25" s="379">
        <v>0</v>
      </c>
      <c r="G25" s="379">
        <v>0</v>
      </c>
      <c r="H25" s="379">
        <v>0</v>
      </c>
      <c r="I25" s="379">
        <v>0</v>
      </c>
      <c r="J25" s="379">
        <v>0</v>
      </c>
      <c r="K25" s="379">
        <v>0</v>
      </c>
      <c r="L25" s="379">
        <v>0</v>
      </c>
      <c r="M25" s="379">
        <v>0</v>
      </c>
      <c r="N25" s="379">
        <v>0</v>
      </c>
      <c r="O25" s="379">
        <v>0</v>
      </c>
      <c r="P25" s="379">
        <v>0</v>
      </c>
      <c r="Q25" s="379">
        <v>0</v>
      </c>
      <c r="R25" s="379">
        <v>0</v>
      </c>
      <c r="S25" s="379">
        <v>0</v>
      </c>
      <c r="T25" s="379">
        <v>0</v>
      </c>
      <c r="U25" s="379">
        <v>0</v>
      </c>
      <c r="V25" s="381">
        <v>0</v>
      </c>
      <c r="W25" s="379">
        <v>0</v>
      </c>
      <c r="X25" s="379">
        <v>0</v>
      </c>
      <c r="Y25" s="379">
        <v>0</v>
      </c>
      <c r="Z25" s="379">
        <v>0</v>
      </c>
      <c r="AA25" s="379">
        <v>0</v>
      </c>
      <c r="AB25" s="379">
        <v>0</v>
      </c>
      <c r="AC25" s="379">
        <v>0</v>
      </c>
      <c r="AD25" s="379">
        <v>0</v>
      </c>
      <c r="AE25" s="379">
        <v>0</v>
      </c>
      <c r="AF25" s="379">
        <v>0</v>
      </c>
      <c r="AG25" s="379">
        <v>0</v>
      </c>
      <c r="AH25" s="379">
        <v>0</v>
      </c>
      <c r="AI25" s="379">
        <v>0</v>
      </c>
      <c r="AJ25" s="379">
        <v>0</v>
      </c>
      <c r="AK25" s="379">
        <v>0</v>
      </c>
      <c r="AL25" s="379">
        <v>0</v>
      </c>
      <c r="AM25" s="379">
        <v>0</v>
      </c>
      <c r="AN25" s="379">
        <v>0</v>
      </c>
      <c r="AO25" s="379">
        <v>0</v>
      </c>
      <c r="AP25" s="379">
        <v>0</v>
      </c>
      <c r="AQ25" s="379">
        <v>0</v>
      </c>
      <c r="AR25" s="379">
        <v>0</v>
      </c>
      <c r="AS25" s="379">
        <v>0</v>
      </c>
      <c r="AT25" s="379">
        <v>0</v>
      </c>
      <c r="AU25" s="379">
        <v>0</v>
      </c>
      <c r="AV25" s="379">
        <v>0</v>
      </c>
      <c r="AW25" s="379">
        <v>0</v>
      </c>
      <c r="AX25" s="379">
        <v>0</v>
      </c>
      <c r="AY25" s="379">
        <v>0</v>
      </c>
      <c r="AZ25" s="379">
        <v>0</v>
      </c>
      <c r="BA25" s="379">
        <v>0</v>
      </c>
      <c r="BB25" s="379">
        <v>0</v>
      </c>
      <c r="BC25" s="379">
        <v>0</v>
      </c>
      <c r="BD25" s="379">
        <v>0</v>
      </c>
    </row>
    <row r="26" spans="1:56" x14ac:dyDescent="0.25">
      <c r="A26" s="378">
        <v>24</v>
      </c>
      <c r="B26" s="361" t="s">
        <v>728</v>
      </c>
      <c r="C26" s="379">
        <v>0</v>
      </c>
      <c r="D26" s="379">
        <v>0</v>
      </c>
      <c r="E26" s="379">
        <v>0</v>
      </c>
      <c r="F26" s="379">
        <v>0</v>
      </c>
      <c r="G26" s="379">
        <v>0</v>
      </c>
      <c r="H26" s="379">
        <v>0</v>
      </c>
      <c r="I26" s="379">
        <v>0</v>
      </c>
      <c r="J26" s="379">
        <v>0</v>
      </c>
      <c r="K26" s="379">
        <v>0</v>
      </c>
      <c r="L26" s="379">
        <v>0</v>
      </c>
      <c r="M26" s="379">
        <v>0</v>
      </c>
      <c r="N26" s="379">
        <v>0</v>
      </c>
      <c r="O26" s="379">
        <v>0</v>
      </c>
      <c r="P26" s="379">
        <v>0</v>
      </c>
      <c r="Q26" s="379">
        <v>0</v>
      </c>
      <c r="R26" s="379">
        <v>0</v>
      </c>
      <c r="S26" s="379">
        <v>0</v>
      </c>
      <c r="T26" s="379">
        <v>0</v>
      </c>
      <c r="U26" s="379">
        <v>0</v>
      </c>
      <c r="V26" s="381">
        <v>2.235989717859665</v>
      </c>
      <c r="W26" s="379">
        <v>0</v>
      </c>
      <c r="X26" s="379">
        <v>0</v>
      </c>
      <c r="Y26" s="379">
        <v>0</v>
      </c>
      <c r="Z26" s="379">
        <v>2.2360679774997898</v>
      </c>
      <c r="AA26" s="379">
        <v>0</v>
      </c>
      <c r="AB26" s="379">
        <v>0</v>
      </c>
      <c r="AC26" s="379">
        <v>0</v>
      </c>
      <c r="AD26" s="379">
        <v>0</v>
      </c>
      <c r="AE26" s="379">
        <v>0</v>
      </c>
      <c r="AF26" s="379">
        <v>0</v>
      </c>
      <c r="AG26" s="379">
        <v>0</v>
      </c>
      <c r="AH26" s="379">
        <v>0</v>
      </c>
      <c r="AI26" s="379">
        <v>0</v>
      </c>
      <c r="AJ26" s="379">
        <v>0</v>
      </c>
      <c r="AK26" s="379">
        <v>0</v>
      </c>
      <c r="AL26" s="379">
        <v>0</v>
      </c>
      <c r="AM26" s="379">
        <v>0</v>
      </c>
      <c r="AN26" s="379">
        <v>0</v>
      </c>
      <c r="AO26" s="379">
        <v>0</v>
      </c>
      <c r="AP26" s="379">
        <v>0</v>
      </c>
      <c r="AQ26" s="379">
        <v>0</v>
      </c>
      <c r="AR26" s="379">
        <v>1.4142135623731</v>
      </c>
      <c r="AS26" s="379">
        <v>0</v>
      </c>
      <c r="AT26" s="379">
        <v>0</v>
      </c>
      <c r="AU26" s="379">
        <v>0</v>
      </c>
      <c r="AV26" s="379">
        <v>0</v>
      </c>
      <c r="AW26" s="379">
        <v>0</v>
      </c>
      <c r="AX26" s="379">
        <v>0</v>
      </c>
      <c r="AY26" s="379">
        <v>0</v>
      </c>
      <c r="AZ26" s="379">
        <v>0</v>
      </c>
      <c r="BA26" s="379">
        <v>0</v>
      </c>
      <c r="BB26" s="379">
        <v>0</v>
      </c>
      <c r="BC26" s="379">
        <v>0</v>
      </c>
      <c r="BD26" s="379">
        <v>0</v>
      </c>
    </row>
    <row r="27" spans="1:56" x14ac:dyDescent="0.25">
      <c r="A27" s="378">
        <v>25</v>
      </c>
      <c r="B27" s="361" t="s">
        <v>729</v>
      </c>
      <c r="C27" s="379">
        <v>0</v>
      </c>
      <c r="D27" s="379">
        <v>0</v>
      </c>
      <c r="E27" s="379">
        <v>0</v>
      </c>
      <c r="F27" s="379">
        <v>0</v>
      </c>
      <c r="G27" s="379">
        <v>0</v>
      </c>
      <c r="H27" s="379">
        <v>0</v>
      </c>
      <c r="I27" s="379">
        <v>0</v>
      </c>
      <c r="J27" s="379">
        <v>0</v>
      </c>
      <c r="K27" s="379">
        <v>0</v>
      </c>
      <c r="L27" s="379">
        <v>0</v>
      </c>
      <c r="M27" s="379">
        <v>0</v>
      </c>
      <c r="N27" s="379">
        <v>0</v>
      </c>
      <c r="O27" s="379">
        <v>0</v>
      </c>
      <c r="P27" s="379">
        <v>0</v>
      </c>
      <c r="Q27" s="379">
        <v>0</v>
      </c>
      <c r="R27" s="379">
        <v>0</v>
      </c>
      <c r="S27" s="379">
        <v>0</v>
      </c>
      <c r="T27" s="379">
        <v>0</v>
      </c>
      <c r="U27" s="379">
        <v>0</v>
      </c>
      <c r="V27" s="381">
        <v>2.235989717859665</v>
      </c>
      <c r="W27" s="379">
        <v>0</v>
      </c>
      <c r="X27" s="379">
        <v>0</v>
      </c>
      <c r="Y27" s="379">
        <v>0</v>
      </c>
      <c r="Z27" s="379">
        <v>0</v>
      </c>
      <c r="AA27" s="379">
        <v>0</v>
      </c>
      <c r="AB27" s="379">
        <v>0</v>
      </c>
      <c r="AC27" s="379">
        <f>3.74165738677394+(3.17251677289325/17)</f>
        <v>3.9282760204735432</v>
      </c>
      <c r="AD27" s="379">
        <v>0</v>
      </c>
      <c r="AE27" s="379">
        <v>0</v>
      </c>
      <c r="AF27" s="379">
        <v>0</v>
      </c>
      <c r="AG27" s="379">
        <v>0</v>
      </c>
      <c r="AH27" s="379">
        <v>3.1526507859041799</v>
      </c>
      <c r="AI27" s="379">
        <v>0</v>
      </c>
      <c r="AJ27" s="379">
        <v>0</v>
      </c>
      <c r="AK27" s="379">
        <v>0</v>
      </c>
      <c r="AL27" s="379">
        <v>0</v>
      </c>
      <c r="AM27" s="379">
        <v>0</v>
      </c>
      <c r="AN27" s="379">
        <v>0</v>
      </c>
      <c r="AO27" s="379">
        <v>0</v>
      </c>
      <c r="AP27" s="379">
        <v>0</v>
      </c>
      <c r="AQ27" s="379">
        <v>0</v>
      </c>
      <c r="AR27" s="379">
        <v>0</v>
      </c>
      <c r="AS27" s="379">
        <v>0</v>
      </c>
      <c r="AT27" s="379">
        <v>0</v>
      </c>
      <c r="AU27" s="379">
        <v>0</v>
      </c>
      <c r="AV27" s="379">
        <v>0</v>
      </c>
      <c r="AW27" s="379">
        <v>0</v>
      </c>
      <c r="AX27" s="379">
        <v>0</v>
      </c>
      <c r="AY27" s="379">
        <v>0</v>
      </c>
      <c r="AZ27" s="379">
        <v>0</v>
      </c>
      <c r="BA27" s="379">
        <v>0</v>
      </c>
      <c r="BB27" s="379">
        <v>0</v>
      </c>
      <c r="BC27" s="379">
        <v>0</v>
      </c>
      <c r="BD27" s="379">
        <v>0</v>
      </c>
    </row>
    <row r="28" spans="1:56" x14ac:dyDescent="0.25">
      <c r="A28" s="378">
        <v>26</v>
      </c>
      <c r="B28" s="361" t="s">
        <v>730</v>
      </c>
      <c r="C28" s="379">
        <v>0</v>
      </c>
      <c r="D28" s="379">
        <v>0</v>
      </c>
      <c r="E28" s="379">
        <v>0</v>
      </c>
      <c r="F28" s="379">
        <v>0</v>
      </c>
      <c r="G28" s="379">
        <v>0</v>
      </c>
      <c r="H28" s="379">
        <v>0</v>
      </c>
      <c r="I28" s="379">
        <v>0</v>
      </c>
      <c r="J28" s="379">
        <v>0</v>
      </c>
      <c r="K28" s="379">
        <v>0</v>
      </c>
      <c r="L28" s="379">
        <v>0</v>
      </c>
      <c r="M28" s="379">
        <v>0</v>
      </c>
      <c r="N28" s="379">
        <v>0</v>
      </c>
      <c r="O28" s="379">
        <v>0</v>
      </c>
      <c r="P28" s="379">
        <v>0</v>
      </c>
      <c r="Q28" s="379">
        <v>0</v>
      </c>
      <c r="R28" s="379">
        <v>0</v>
      </c>
      <c r="S28" s="379">
        <v>0</v>
      </c>
      <c r="T28" s="379">
        <v>0</v>
      </c>
      <c r="U28" s="379">
        <v>0</v>
      </c>
      <c r="V28" s="381">
        <v>0</v>
      </c>
      <c r="W28" s="379">
        <v>0</v>
      </c>
      <c r="X28" s="379">
        <v>0</v>
      </c>
      <c r="Y28" s="379">
        <v>0</v>
      </c>
      <c r="Z28" s="379">
        <v>0</v>
      </c>
      <c r="AA28" s="379">
        <v>0</v>
      </c>
      <c r="AB28" s="379">
        <v>0</v>
      </c>
      <c r="AC28" s="379">
        <v>0</v>
      </c>
      <c r="AD28" s="379">
        <v>0</v>
      </c>
      <c r="AE28" s="379">
        <v>0</v>
      </c>
      <c r="AF28" s="379">
        <v>0</v>
      </c>
      <c r="AG28" s="379">
        <v>0</v>
      </c>
      <c r="AH28" s="379">
        <v>0</v>
      </c>
      <c r="AI28" s="379">
        <v>0</v>
      </c>
      <c r="AJ28" s="379">
        <v>0</v>
      </c>
      <c r="AK28" s="379">
        <v>0</v>
      </c>
      <c r="AL28" s="379">
        <v>0</v>
      </c>
      <c r="AM28" s="379">
        <v>0</v>
      </c>
      <c r="AN28" s="379">
        <v>0</v>
      </c>
      <c r="AO28" s="379">
        <v>0</v>
      </c>
      <c r="AP28" s="379">
        <v>0</v>
      </c>
      <c r="AQ28" s="379">
        <v>0</v>
      </c>
      <c r="AR28" s="379">
        <v>0</v>
      </c>
      <c r="AS28" s="379">
        <v>0</v>
      </c>
      <c r="AT28" s="379">
        <v>0</v>
      </c>
      <c r="AU28" s="379">
        <v>0</v>
      </c>
      <c r="AV28" s="379">
        <v>0</v>
      </c>
      <c r="AW28" s="379">
        <v>0</v>
      </c>
      <c r="AX28" s="379">
        <v>0</v>
      </c>
      <c r="AY28" s="379">
        <v>0</v>
      </c>
      <c r="AZ28" s="379">
        <v>0</v>
      </c>
      <c r="BA28" s="379">
        <v>0</v>
      </c>
      <c r="BB28" s="379">
        <v>0</v>
      </c>
      <c r="BC28" s="379">
        <v>0</v>
      </c>
      <c r="BD28" s="379">
        <v>0</v>
      </c>
    </row>
    <row r="29" spans="1:56" x14ac:dyDescent="0.25">
      <c r="A29" s="378">
        <v>27</v>
      </c>
      <c r="B29" s="361" t="s">
        <v>731</v>
      </c>
      <c r="C29" s="379">
        <v>0</v>
      </c>
      <c r="D29" s="379">
        <v>0</v>
      </c>
      <c r="E29" s="379">
        <v>0</v>
      </c>
      <c r="F29" s="379">
        <v>0</v>
      </c>
      <c r="G29" s="379">
        <v>0</v>
      </c>
      <c r="H29" s="379">
        <v>0</v>
      </c>
      <c r="I29" s="379">
        <v>0</v>
      </c>
      <c r="J29" s="379">
        <v>0</v>
      </c>
      <c r="K29" s="379">
        <v>0</v>
      </c>
      <c r="L29" s="379">
        <v>0</v>
      </c>
      <c r="M29" s="379">
        <v>0</v>
      </c>
      <c r="N29" s="379">
        <v>0</v>
      </c>
      <c r="O29" s="379">
        <v>0</v>
      </c>
      <c r="P29" s="379">
        <v>0</v>
      </c>
      <c r="Q29" s="379">
        <v>0</v>
      </c>
      <c r="R29" s="379">
        <v>0</v>
      </c>
      <c r="S29" s="379">
        <v>0</v>
      </c>
      <c r="T29" s="379">
        <v>0</v>
      </c>
      <c r="U29" s="379">
        <v>0</v>
      </c>
      <c r="V29" s="381">
        <v>0</v>
      </c>
      <c r="W29" s="379">
        <v>0</v>
      </c>
      <c r="X29" s="379">
        <v>0</v>
      </c>
      <c r="Y29" s="379">
        <v>0</v>
      </c>
      <c r="Z29" s="379">
        <v>0</v>
      </c>
      <c r="AA29" s="379">
        <v>0</v>
      </c>
      <c r="AB29" s="379">
        <v>0</v>
      </c>
      <c r="AC29" s="379">
        <v>0</v>
      </c>
      <c r="AD29" s="379">
        <v>0</v>
      </c>
      <c r="AE29" s="379">
        <v>0</v>
      </c>
      <c r="AF29" s="379">
        <v>0</v>
      </c>
      <c r="AG29" s="379">
        <v>0</v>
      </c>
      <c r="AH29" s="379">
        <v>0</v>
      </c>
      <c r="AI29" s="379">
        <v>0</v>
      </c>
      <c r="AJ29" s="379">
        <v>0</v>
      </c>
      <c r="AK29" s="379">
        <v>0</v>
      </c>
      <c r="AL29" s="379">
        <v>0</v>
      </c>
      <c r="AM29" s="379">
        <v>0</v>
      </c>
      <c r="AN29" s="379">
        <v>0</v>
      </c>
      <c r="AO29" s="379">
        <v>0</v>
      </c>
      <c r="AP29" s="379">
        <v>0</v>
      </c>
      <c r="AQ29" s="379">
        <v>0</v>
      </c>
      <c r="AR29" s="379">
        <v>0</v>
      </c>
      <c r="AS29" s="379">
        <v>0</v>
      </c>
      <c r="AT29" s="379">
        <v>0</v>
      </c>
      <c r="AU29" s="379">
        <v>0</v>
      </c>
      <c r="AV29" s="379">
        <v>0</v>
      </c>
      <c r="AW29" s="379">
        <v>0</v>
      </c>
      <c r="AX29" s="379">
        <v>0</v>
      </c>
      <c r="AY29" s="379">
        <v>0</v>
      </c>
      <c r="AZ29" s="379">
        <v>0</v>
      </c>
      <c r="BA29" s="379">
        <v>0</v>
      </c>
      <c r="BB29" s="379">
        <v>0</v>
      </c>
      <c r="BC29" s="379">
        <v>0</v>
      </c>
      <c r="BD29" s="379">
        <v>0</v>
      </c>
    </row>
    <row r="30" spans="1:56" x14ac:dyDescent="0.25">
      <c r="A30" s="378">
        <v>28</v>
      </c>
      <c r="B30" s="376" t="s">
        <v>447</v>
      </c>
      <c r="C30" s="379">
        <v>0</v>
      </c>
      <c r="D30" s="379">
        <v>0</v>
      </c>
      <c r="E30" s="379">
        <v>0</v>
      </c>
      <c r="F30" s="379">
        <v>0</v>
      </c>
      <c r="G30" s="379">
        <v>0</v>
      </c>
      <c r="H30" s="379">
        <v>0</v>
      </c>
      <c r="I30" s="379">
        <v>0</v>
      </c>
      <c r="J30" s="379">
        <v>0</v>
      </c>
      <c r="K30" s="379">
        <v>0</v>
      </c>
      <c r="L30" s="379">
        <v>0</v>
      </c>
      <c r="M30" s="379">
        <v>0</v>
      </c>
      <c r="N30" s="379">
        <v>0</v>
      </c>
      <c r="O30" s="379">
        <v>0</v>
      </c>
      <c r="P30" s="379">
        <v>0</v>
      </c>
      <c r="Q30" s="379">
        <v>0</v>
      </c>
      <c r="R30" s="379">
        <v>0</v>
      </c>
      <c r="S30" s="379">
        <v>0</v>
      </c>
      <c r="T30" s="379">
        <v>0</v>
      </c>
      <c r="U30" s="379">
        <v>0</v>
      </c>
      <c r="V30" s="381">
        <v>0</v>
      </c>
      <c r="W30" s="379">
        <v>0</v>
      </c>
      <c r="X30" s="379">
        <v>0</v>
      </c>
      <c r="Y30" s="379">
        <v>0</v>
      </c>
      <c r="Z30" s="379">
        <v>0</v>
      </c>
      <c r="AA30" s="379">
        <v>0</v>
      </c>
      <c r="AB30" s="379">
        <v>0</v>
      </c>
      <c r="AC30" s="379">
        <v>0</v>
      </c>
      <c r="AD30" s="379">
        <v>0</v>
      </c>
      <c r="AE30" s="379">
        <v>0</v>
      </c>
      <c r="AF30" s="379">
        <v>0</v>
      </c>
      <c r="AG30" s="379">
        <v>0</v>
      </c>
      <c r="AH30" s="379">
        <v>0</v>
      </c>
      <c r="AI30" s="379">
        <v>0</v>
      </c>
      <c r="AJ30" s="379">
        <v>0</v>
      </c>
      <c r="AK30" s="379">
        <v>0</v>
      </c>
      <c r="AL30" s="379">
        <v>0</v>
      </c>
      <c r="AM30" s="379">
        <v>0</v>
      </c>
      <c r="AN30" s="379">
        <v>0</v>
      </c>
      <c r="AO30" s="379">
        <v>0</v>
      </c>
      <c r="AP30" s="379">
        <v>0</v>
      </c>
      <c r="AQ30" s="379">
        <v>0</v>
      </c>
      <c r="AR30" s="379">
        <v>0</v>
      </c>
      <c r="AS30" s="379">
        <v>0</v>
      </c>
      <c r="AT30" s="379">
        <v>0</v>
      </c>
      <c r="AU30" s="379">
        <v>0</v>
      </c>
      <c r="AV30" s="379">
        <v>0</v>
      </c>
      <c r="AW30" s="379">
        <v>0</v>
      </c>
      <c r="AX30" s="379">
        <v>0</v>
      </c>
      <c r="AY30" s="379">
        <v>0</v>
      </c>
      <c r="AZ30" s="379">
        <v>0</v>
      </c>
      <c r="BA30" s="379">
        <v>0</v>
      </c>
      <c r="BB30" s="379">
        <v>0</v>
      </c>
      <c r="BC30" s="379">
        <v>0</v>
      </c>
      <c r="BD30" s="379">
        <v>0</v>
      </c>
    </row>
    <row r="31" spans="1:56" x14ac:dyDescent="0.25">
      <c r="A31" s="378">
        <v>29</v>
      </c>
      <c r="B31" s="376" t="s">
        <v>450</v>
      </c>
      <c r="C31" s="379">
        <v>0</v>
      </c>
      <c r="D31" s="379">
        <v>0</v>
      </c>
      <c r="E31" s="379">
        <v>0</v>
      </c>
      <c r="F31" s="379">
        <v>0</v>
      </c>
      <c r="G31" s="379">
        <v>0</v>
      </c>
      <c r="H31" s="379">
        <v>0</v>
      </c>
      <c r="I31" s="379">
        <v>0</v>
      </c>
      <c r="J31" s="379">
        <v>0</v>
      </c>
      <c r="K31" s="379">
        <v>0</v>
      </c>
      <c r="L31" s="379">
        <v>0</v>
      </c>
      <c r="M31" s="379">
        <v>0</v>
      </c>
      <c r="N31" s="379">
        <v>0</v>
      </c>
      <c r="O31" s="379">
        <v>0</v>
      </c>
      <c r="P31" s="379">
        <v>0</v>
      </c>
      <c r="Q31" s="379">
        <v>0</v>
      </c>
      <c r="R31" s="379">
        <f>2+(2/8)</f>
        <v>2.25</v>
      </c>
      <c r="S31" s="379">
        <v>0</v>
      </c>
      <c r="T31" s="379">
        <v>0</v>
      </c>
      <c r="U31" s="379">
        <v>0</v>
      </c>
      <c r="V31" s="381">
        <v>2.235989717859665</v>
      </c>
      <c r="W31" s="379">
        <f>4.24264068711928+(3.13896484116559/16)</f>
        <v>4.4388259896921296</v>
      </c>
      <c r="X31" s="379">
        <v>0</v>
      </c>
      <c r="Y31" s="379">
        <v>0</v>
      </c>
      <c r="Z31" s="379">
        <v>0</v>
      </c>
      <c r="AA31" s="379">
        <v>0</v>
      </c>
      <c r="AB31" s="379">
        <v>1.4768489592659579</v>
      </c>
      <c r="AC31" s="379">
        <v>0</v>
      </c>
      <c r="AD31" s="379">
        <v>0</v>
      </c>
      <c r="AE31" s="379">
        <v>0</v>
      </c>
      <c r="AF31" s="379">
        <v>0</v>
      </c>
      <c r="AG31" s="379">
        <v>0</v>
      </c>
      <c r="AH31" s="379">
        <v>0</v>
      </c>
      <c r="AI31" s="379">
        <v>0</v>
      </c>
      <c r="AJ31" s="379">
        <v>0</v>
      </c>
      <c r="AK31" s="379">
        <v>0</v>
      </c>
      <c r="AL31" s="379">
        <v>0</v>
      </c>
      <c r="AM31" s="379">
        <v>0</v>
      </c>
      <c r="AN31" s="379">
        <v>0</v>
      </c>
      <c r="AO31" s="379">
        <v>0</v>
      </c>
      <c r="AP31" s="379">
        <v>0</v>
      </c>
      <c r="AQ31" s="379">
        <v>0</v>
      </c>
      <c r="AR31" s="379">
        <v>1.0017602988423</v>
      </c>
      <c r="AS31" s="379">
        <v>0</v>
      </c>
      <c r="AT31" s="379">
        <v>0</v>
      </c>
      <c r="AU31" s="379">
        <v>0</v>
      </c>
      <c r="AV31" s="379">
        <v>0</v>
      </c>
      <c r="AW31" s="379">
        <v>0</v>
      </c>
      <c r="AX31" s="379">
        <v>1.58465362052126</v>
      </c>
      <c r="AY31" s="379">
        <v>0.32732683535398899</v>
      </c>
      <c r="AZ31" s="379">
        <v>0</v>
      </c>
      <c r="BA31" s="379">
        <v>0</v>
      </c>
      <c r="BB31" s="379">
        <v>0</v>
      </c>
      <c r="BC31" s="379">
        <v>0</v>
      </c>
      <c r="BD31" s="379">
        <v>0</v>
      </c>
    </row>
    <row r="32" spans="1:56" x14ac:dyDescent="0.25">
      <c r="A32" s="378">
        <v>30</v>
      </c>
      <c r="B32" s="376" t="s">
        <v>453</v>
      </c>
      <c r="C32" s="379">
        <v>0</v>
      </c>
      <c r="D32" s="379">
        <v>0</v>
      </c>
      <c r="E32" s="379">
        <v>0</v>
      </c>
      <c r="F32" s="379">
        <v>0</v>
      </c>
      <c r="G32" s="379">
        <v>0</v>
      </c>
      <c r="H32" s="379">
        <v>0</v>
      </c>
      <c r="I32" s="379">
        <v>0</v>
      </c>
      <c r="J32" s="379">
        <v>0</v>
      </c>
      <c r="K32" s="379">
        <v>0</v>
      </c>
      <c r="L32" s="379">
        <v>0</v>
      </c>
      <c r="M32" s="379">
        <v>0</v>
      </c>
      <c r="N32" s="379">
        <v>0</v>
      </c>
      <c r="O32" s="379">
        <v>0</v>
      </c>
      <c r="P32" s="379">
        <v>0</v>
      </c>
      <c r="Q32" s="379">
        <v>0</v>
      </c>
      <c r="R32" s="379">
        <v>0</v>
      </c>
      <c r="S32" s="379">
        <v>0</v>
      </c>
      <c r="T32" s="379">
        <v>0</v>
      </c>
      <c r="U32" s="379">
        <v>0</v>
      </c>
      <c r="V32" s="381">
        <v>0</v>
      </c>
      <c r="W32" s="379">
        <v>0</v>
      </c>
      <c r="X32" s="379">
        <v>0</v>
      </c>
      <c r="Y32" s="379">
        <v>0</v>
      </c>
      <c r="Z32" s="379">
        <v>0</v>
      </c>
      <c r="AA32" s="379">
        <v>0</v>
      </c>
      <c r="AB32" s="379">
        <v>0</v>
      </c>
      <c r="AC32" s="379">
        <v>0</v>
      </c>
      <c r="AD32" s="379">
        <v>0</v>
      </c>
      <c r="AE32" s="379">
        <v>0</v>
      </c>
      <c r="AF32" s="379">
        <v>0</v>
      </c>
      <c r="AG32" s="379">
        <v>0</v>
      </c>
      <c r="AH32" s="379">
        <v>0</v>
      </c>
      <c r="AI32" s="379">
        <v>0</v>
      </c>
      <c r="AJ32" s="379">
        <v>0</v>
      </c>
      <c r="AK32" s="379">
        <v>0</v>
      </c>
      <c r="AL32" s="379">
        <v>0</v>
      </c>
      <c r="AM32" s="379">
        <v>0</v>
      </c>
      <c r="AN32" s="379">
        <v>0</v>
      </c>
      <c r="AO32" s="379">
        <v>0</v>
      </c>
      <c r="AP32" s="379">
        <v>0</v>
      </c>
      <c r="AQ32" s="379">
        <v>0</v>
      </c>
      <c r="AR32" s="379">
        <v>0</v>
      </c>
      <c r="AS32" s="379">
        <v>0</v>
      </c>
      <c r="AT32" s="379">
        <v>0</v>
      </c>
      <c r="AU32" s="379">
        <v>0</v>
      </c>
      <c r="AV32" s="379">
        <v>0</v>
      </c>
      <c r="AW32" s="379">
        <v>0</v>
      </c>
      <c r="AX32" s="379">
        <v>1.29321346114956</v>
      </c>
      <c r="AY32" s="379">
        <v>0.32732683535398899</v>
      </c>
      <c r="AZ32" s="379">
        <v>0</v>
      </c>
      <c r="BA32" s="379">
        <v>0</v>
      </c>
      <c r="BB32" s="379">
        <v>0</v>
      </c>
      <c r="BC32" s="379">
        <v>0</v>
      </c>
      <c r="BD32" s="379">
        <v>0</v>
      </c>
    </row>
    <row r="33" spans="1:56" x14ac:dyDescent="0.25">
      <c r="A33" s="378">
        <v>31</v>
      </c>
      <c r="B33" s="361" t="s">
        <v>732</v>
      </c>
      <c r="C33" s="379">
        <v>0</v>
      </c>
      <c r="D33" s="379">
        <v>0</v>
      </c>
      <c r="E33" s="379">
        <v>0</v>
      </c>
      <c r="F33" s="379">
        <v>0</v>
      </c>
      <c r="G33" s="379">
        <v>0</v>
      </c>
      <c r="H33" s="379">
        <v>0</v>
      </c>
      <c r="I33" s="379">
        <v>0</v>
      </c>
      <c r="J33" s="379">
        <v>0</v>
      </c>
      <c r="K33" s="379">
        <v>0</v>
      </c>
      <c r="L33" s="379">
        <v>0</v>
      </c>
      <c r="M33" s="379">
        <v>0</v>
      </c>
      <c r="N33" s="379">
        <v>0</v>
      </c>
      <c r="O33" s="379">
        <v>1.7320508075688801</v>
      </c>
      <c r="P33" s="379">
        <v>1.4142135623731</v>
      </c>
      <c r="Q33" s="379">
        <f>2.23606797749979+(1.17124557190675/10)</f>
        <v>2.3531925346904647</v>
      </c>
      <c r="R33" s="379">
        <f>2+(2/8)</f>
        <v>2.25</v>
      </c>
      <c r="S33" s="379">
        <v>2.8328179637599602</v>
      </c>
      <c r="T33" s="379">
        <v>0</v>
      </c>
      <c r="U33" s="379">
        <v>0</v>
      </c>
      <c r="V33" s="381">
        <v>0</v>
      </c>
      <c r="W33" s="379">
        <f>3.43187671366233+(3.13896484116559/16)</f>
        <v>3.6280620162351793</v>
      </c>
      <c r="X33" s="379">
        <v>1.49794097363475</v>
      </c>
      <c r="Y33" s="379">
        <v>1.49794097363475</v>
      </c>
      <c r="Z33" s="379">
        <v>0</v>
      </c>
      <c r="AA33" s="379">
        <v>0</v>
      </c>
      <c r="AB33" s="379">
        <v>1.1236499453153859</v>
      </c>
      <c r="AC33" s="379">
        <f>1.57654823511479+(3.17251677289325/17)</f>
        <v>1.7631668688143929</v>
      </c>
      <c r="AD33" s="379">
        <v>0.781534863986175</v>
      </c>
      <c r="AE33" s="379">
        <v>0</v>
      </c>
      <c r="AF33" s="379">
        <v>0</v>
      </c>
      <c r="AG33" s="379">
        <v>3</v>
      </c>
      <c r="AH33" s="379">
        <v>1.00839786963</v>
      </c>
      <c r="AI33" s="384" t="s">
        <v>2960</v>
      </c>
      <c r="AJ33" s="379">
        <v>0</v>
      </c>
      <c r="AK33" s="379">
        <f>0.02993559062253+(1.41497117678151/12)</f>
        <v>0.14784985535432252</v>
      </c>
      <c r="AL33" s="379">
        <v>0</v>
      </c>
      <c r="AM33" s="379">
        <v>0</v>
      </c>
      <c r="AN33" s="379">
        <v>0</v>
      </c>
      <c r="AO33" s="379">
        <v>0</v>
      </c>
      <c r="AP33" s="379">
        <v>0</v>
      </c>
      <c r="AQ33" s="379">
        <v>0</v>
      </c>
      <c r="AR33" s="379">
        <v>1.4025478772065501</v>
      </c>
      <c r="AS33" s="379">
        <v>0</v>
      </c>
      <c r="AT33" s="379">
        <v>0</v>
      </c>
      <c r="AU33" s="379">
        <f>2+(2/14)</f>
        <v>2.1428571428571428</v>
      </c>
      <c r="AV33" s="379">
        <v>0</v>
      </c>
      <c r="AW33" s="379">
        <v>0</v>
      </c>
      <c r="AX33" s="379">
        <v>1.2558875509974701</v>
      </c>
      <c r="AY33" s="379">
        <v>1.7320508075688801</v>
      </c>
      <c r="AZ33" s="379">
        <v>0</v>
      </c>
      <c r="BA33" s="379">
        <v>0</v>
      </c>
      <c r="BB33" s="379">
        <v>0</v>
      </c>
      <c r="BC33" s="379">
        <v>0</v>
      </c>
      <c r="BD33" s="379">
        <v>0</v>
      </c>
    </row>
    <row r="34" spans="1:56" x14ac:dyDescent="0.25">
      <c r="A34" s="378">
        <v>32</v>
      </c>
      <c r="B34" s="361" t="s">
        <v>733</v>
      </c>
      <c r="C34" s="379">
        <v>0</v>
      </c>
      <c r="D34" s="379">
        <v>0</v>
      </c>
      <c r="E34" s="379">
        <v>0</v>
      </c>
      <c r="F34" s="379">
        <v>0</v>
      </c>
      <c r="G34" s="379">
        <v>0</v>
      </c>
      <c r="H34" s="379">
        <v>0</v>
      </c>
      <c r="I34" s="379">
        <v>0</v>
      </c>
      <c r="J34" s="379">
        <v>0</v>
      </c>
      <c r="K34" s="379">
        <v>0</v>
      </c>
      <c r="L34" s="379">
        <v>0</v>
      </c>
      <c r="M34" s="379">
        <v>0</v>
      </c>
      <c r="N34" s="379">
        <v>0</v>
      </c>
      <c r="O34" s="379">
        <v>0</v>
      </c>
      <c r="P34" s="379">
        <v>0</v>
      </c>
      <c r="Q34" s="379">
        <v>0</v>
      </c>
      <c r="R34" s="379">
        <v>0</v>
      </c>
      <c r="S34" s="379">
        <v>0</v>
      </c>
      <c r="T34" s="379">
        <v>0</v>
      </c>
      <c r="U34" s="379">
        <v>0</v>
      </c>
      <c r="V34" s="381">
        <v>0</v>
      </c>
      <c r="W34" s="379">
        <v>0</v>
      </c>
      <c r="X34" s="379">
        <v>0</v>
      </c>
      <c r="Y34" s="379">
        <v>0</v>
      </c>
      <c r="Z34" s="379">
        <v>0</v>
      </c>
      <c r="AA34" s="379">
        <v>0</v>
      </c>
      <c r="AB34" s="379">
        <v>0.5879096232042722</v>
      </c>
      <c r="AC34" s="379">
        <f>3.74165738677394+(3.17251677289325/17)</f>
        <v>3.9282760204735432</v>
      </c>
      <c r="AD34" s="379">
        <v>0.79912903948567005</v>
      </c>
      <c r="AE34" s="379">
        <v>0</v>
      </c>
      <c r="AF34" s="379">
        <v>0</v>
      </c>
      <c r="AG34" s="379">
        <v>0</v>
      </c>
      <c r="AH34" s="379">
        <v>3.94944274010588</v>
      </c>
      <c r="AI34" s="379">
        <v>0</v>
      </c>
      <c r="AJ34" s="379">
        <v>0</v>
      </c>
      <c r="AK34" s="379">
        <v>0</v>
      </c>
      <c r="AL34" s="379">
        <v>0</v>
      </c>
      <c r="AM34" s="379">
        <v>0</v>
      </c>
      <c r="AN34" s="379">
        <v>0</v>
      </c>
      <c r="AO34" s="379">
        <v>0</v>
      </c>
      <c r="AP34" s="379">
        <v>0</v>
      </c>
      <c r="AQ34" s="379">
        <v>0</v>
      </c>
      <c r="AR34" s="379">
        <v>1.4142135623731</v>
      </c>
      <c r="AS34" s="379">
        <v>0</v>
      </c>
      <c r="AT34" s="379">
        <v>0</v>
      </c>
      <c r="AU34" s="379">
        <v>0</v>
      </c>
      <c r="AV34" s="379">
        <v>0</v>
      </c>
      <c r="AW34" s="379">
        <v>0</v>
      </c>
      <c r="AX34" s="379">
        <v>1.48689583910557</v>
      </c>
      <c r="AY34" s="379">
        <v>0.32732683535398899</v>
      </c>
      <c r="AZ34" s="379">
        <v>0</v>
      </c>
      <c r="BA34" s="379">
        <v>0</v>
      </c>
      <c r="BB34" s="379">
        <v>0</v>
      </c>
      <c r="BC34" s="379">
        <v>0</v>
      </c>
      <c r="BD34" s="379">
        <v>0</v>
      </c>
    </row>
    <row r="35" spans="1:56" x14ac:dyDescent="0.25">
      <c r="A35" s="378">
        <v>33</v>
      </c>
      <c r="B35" s="361" t="s">
        <v>734</v>
      </c>
      <c r="C35" s="379">
        <v>0</v>
      </c>
      <c r="D35" s="379">
        <v>0</v>
      </c>
      <c r="E35" s="379">
        <v>0</v>
      </c>
      <c r="F35" s="379">
        <v>0</v>
      </c>
      <c r="G35" s="379">
        <v>0</v>
      </c>
      <c r="H35" s="379">
        <v>0</v>
      </c>
      <c r="I35" s="379">
        <v>0</v>
      </c>
      <c r="J35" s="379">
        <v>0</v>
      </c>
      <c r="K35" s="379">
        <f>1.73205080756888+(1.73205080756888/10)</f>
        <v>1.905255888325768</v>
      </c>
      <c r="L35" s="379">
        <v>0</v>
      </c>
      <c r="M35" s="379">
        <v>0</v>
      </c>
      <c r="N35" s="379">
        <v>0</v>
      </c>
      <c r="O35" s="379">
        <v>0</v>
      </c>
      <c r="P35" s="379">
        <v>0</v>
      </c>
      <c r="Q35" s="379">
        <v>0</v>
      </c>
      <c r="R35" s="379">
        <f>1.17965499128871+(2/8)</f>
        <v>1.42965499128871</v>
      </c>
      <c r="S35" s="379">
        <v>0</v>
      </c>
      <c r="T35" s="379">
        <v>0</v>
      </c>
      <c r="U35" s="379">
        <v>0</v>
      </c>
      <c r="V35" s="381">
        <v>0.58829709978744027</v>
      </c>
      <c r="W35" s="379">
        <f>1.57130567942055+(3.13896484116559/16)</f>
        <v>1.7674909819933995</v>
      </c>
      <c r="X35" s="379">
        <v>0</v>
      </c>
      <c r="Y35" s="379">
        <v>0</v>
      </c>
      <c r="Z35" s="379">
        <v>0.66210873420247096</v>
      </c>
      <c r="AA35" s="379">
        <v>0</v>
      </c>
      <c r="AB35" s="379">
        <v>1.4983102828880319</v>
      </c>
      <c r="AC35" s="379">
        <f>1.52456732521586+(3.17251677289325/17)</f>
        <v>1.711185958915463</v>
      </c>
      <c r="AD35" s="379">
        <v>1.43070551915776</v>
      </c>
      <c r="AE35" s="379">
        <v>2.4685638387334601</v>
      </c>
      <c r="AF35" s="379">
        <v>1.0943707176558199</v>
      </c>
      <c r="AG35" s="379">
        <v>0</v>
      </c>
      <c r="AH35" s="379">
        <v>2.55462435356469</v>
      </c>
      <c r="AI35" s="379">
        <f>1.57029965305339+(3.33204954107276/21)</f>
        <v>1.7289686788187595</v>
      </c>
      <c r="AJ35" s="379">
        <v>0</v>
      </c>
      <c r="AK35" s="379">
        <v>0</v>
      </c>
      <c r="AL35" s="379">
        <v>0</v>
      </c>
      <c r="AM35" s="379">
        <v>0</v>
      </c>
      <c r="AN35" s="379">
        <v>0</v>
      </c>
      <c r="AO35" s="379">
        <v>0</v>
      </c>
      <c r="AP35" s="379">
        <f>1.74801474695025+(3.16227766016838/10)</f>
        <v>2.0642425129670881</v>
      </c>
      <c r="AQ35" s="379">
        <v>0</v>
      </c>
      <c r="AR35" s="379">
        <v>0.97785446527485897</v>
      </c>
      <c r="AS35" s="379">
        <v>0</v>
      </c>
      <c r="AT35" s="379">
        <v>0</v>
      </c>
      <c r="AU35" s="379">
        <f>2+(2/14)</f>
        <v>2.1428571428571428</v>
      </c>
      <c r="AV35" s="379">
        <v>0</v>
      </c>
      <c r="AW35" s="379">
        <v>0</v>
      </c>
      <c r="AX35" s="379">
        <v>1.98332794350251</v>
      </c>
      <c r="AY35" s="379">
        <v>0.32732683535398899</v>
      </c>
      <c r="AZ35" s="379">
        <v>0</v>
      </c>
      <c r="BA35" s="379">
        <v>0</v>
      </c>
      <c r="BB35" s="379">
        <v>0</v>
      </c>
      <c r="BC35" s="379">
        <v>0</v>
      </c>
      <c r="BD35" s="379">
        <v>0</v>
      </c>
    </row>
    <row r="36" spans="1:56" x14ac:dyDescent="0.25">
      <c r="A36" s="378">
        <v>34</v>
      </c>
      <c r="B36" s="361" t="s">
        <v>735</v>
      </c>
      <c r="C36" s="379">
        <v>0</v>
      </c>
      <c r="D36" s="379">
        <v>0</v>
      </c>
      <c r="E36" s="379">
        <v>0</v>
      </c>
      <c r="F36" s="379">
        <v>0</v>
      </c>
      <c r="G36" s="379">
        <v>0</v>
      </c>
      <c r="H36" s="379">
        <v>0</v>
      </c>
      <c r="I36" s="379">
        <v>0</v>
      </c>
      <c r="J36" s="379">
        <v>0</v>
      </c>
      <c r="K36" s="379">
        <v>0</v>
      </c>
      <c r="L36" s="379">
        <v>0</v>
      </c>
      <c r="M36" s="379">
        <v>0</v>
      </c>
      <c r="N36" s="379">
        <v>0</v>
      </c>
      <c r="O36" s="379">
        <v>0</v>
      </c>
      <c r="P36" s="379">
        <v>0</v>
      </c>
      <c r="Q36" s="379">
        <v>0</v>
      </c>
      <c r="R36" s="379">
        <f>2+(2/8)</f>
        <v>2.25</v>
      </c>
      <c r="S36" s="379">
        <v>0</v>
      </c>
      <c r="T36" s="379">
        <v>0</v>
      </c>
      <c r="U36" s="379">
        <v>0</v>
      </c>
      <c r="V36" s="381">
        <v>0</v>
      </c>
      <c r="W36" s="379">
        <f>4.24264068711929+(3.13896484116559/16)</f>
        <v>4.4388259896921394</v>
      </c>
      <c r="X36" s="379">
        <v>0</v>
      </c>
      <c r="Y36" s="379">
        <v>0</v>
      </c>
      <c r="Z36" s="379">
        <v>0</v>
      </c>
      <c r="AA36" s="379">
        <v>0</v>
      </c>
      <c r="AB36" s="379">
        <v>0</v>
      </c>
      <c r="AC36" s="379">
        <v>0</v>
      </c>
      <c r="AD36" s="379">
        <v>1.8358568490953699</v>
      </c>
      <c r="AE36" s="379">
        <v>0</v>
      </c>
      <c r="AF36" s="379">
        <v>0</v>
      </c>
      <c r="AG36" s="379">
        <v>0</v>
      </c>
      <c r="AH36" s="379">
        <v>4.1231056256176597</v>
      </c>
      <c r="AI36" s="379">
        <v>0</v>
      </c>
      <c r="AJ36" s="379">
        <v>0</v>
      </c>
      <c r="AK36" s="379">
        <v>0</v>
      </c>
      <c r="AL36" s="379">
        <v>0</v>
      </c>
      <c r="AM36" s="379">
        <v>0</v>
      </c>
      <c r="AN36" s="379">
        <v>0</v>
      </c>
      <c r="AO36" s="379">
        <v>0</v>
      </c>
      <c r="AP36" s="379">
        <v>0</v>
      </c>
      <c r="AQ36" s="379">
        <v>0</v>
      </c>
      <c r="AR36" s="379">
        <v>0</v>
      </c>
      <c r="AS36" s="379">
        <v>0</v>
      </c>
      <c r="AT36" s="379">
        <v>0</v>
      </c>
      <c r="AU36" s="379">
        <v>0</v>
      </c>
      <c r="AV36" s="379">
        <v>0</v>
      </c>
      <c r="AW36" s="379">
        <v>0</v>
      </c>
      <c r="AX36" s="379">
        <v>0</v>
      </c>
      <c r="AY36" s="379">
        <v>0</v>
      </c>
      <c r="AZ36" s="379">
        <v>0</v>
      </c>
      <c r="BA36" s="379">
        <v>0</v>
      </c>
      <c r="BB36" s="379">
        <v>0</v>
      </c>
      <c r="BC36" s="379">
        <v>0</v>
      </c>
      <c r="BD36" s="379">
        <v>0</v>
      </c>
    </row>
    <row r="37" spans="1:56" x14ac:dyDescent="0.25">
      <c r="A37" s="378">
        <v>35</v>
      </c>
      <c r="B37" s="361" t="s">
        <v>736</v>
      </c>
      <c r="C37" s="379">
        <v>0</v>
      </c>
      <c r="D37" s="379">
        <v>0</v>
      </c>
      <c r="E37" s="379">
        <v>0</v>
      </c>
      <c r="F37" s="379">
        <v>0</v>
      </c>
      <c r="G37" s="379">
        <v>0</v>
      </c>
      <c r="H37" s="379">
        <v>0</v>
      </c>
      <c r="I37" s="379">
        <v>0</v>
      </c>
      <c r="J37" s="379">
        <v>0</v>
      </c>
      <c r="K37" s="379">
        <f>1.73205080756888+(1.73205080756888/10)</f>
        <v>1.905255888325768</v>
      </c>
      <c r="L37" s="379">
        <v>0</v>
      </c>
      <c r="M37" s="379">
        <v>0</v>
      </c>
      <c r="N37" s="379">
        <v>0</v>
      </c>
      <c r="O37" s="379">
        <v>0</v>
      </c>
      <c r="P37" s="379">
        <v>0</v>
      </c>
      <c r="Q37" s="379">
        <v>0</v>
      </c>
      <c r="R37" s="379">
        <v>0</v>
      </c>
      <c r="S37" s="379">
        <v>0</v>
      </c>
      <c r="T37" s="379">
        <v>0</v>
      </c>
      <c r="U37" s="379">
        <v>0</v>
      </c>
      <c r="V37" s="381">
        <v>0</v>
      </c>
      <c r="W37" s="379">
        <f>3.29438024163432+(3.13896484116559/16)</f>
        <v>3.4905655442071692</v>
      </c>
      <c r="X37" s="379">
        <v>0</v>
      </c>
      <c r="Y37" s="379">
        <v>0</v>
      </c>
      <c r="Z37" s="379">
        <v>0</v>
      </c>
      <c r="AA37" s="379">
        <v>0</v>
      </c>
      <c r="AB37" s="379">
        <v>1.527121805861505</v>
      </c>
      <c r="AC37" s="379">
        <f>2.39870776425382+(3.17251677289325/17)</f>
        <v>2.5853263979534233</v>
      </c>
      <c r="AD37" s="379">
        <v>1.5413754532081601</v>
      </c>
      <c r="AE37" s="379">
        <v>2.6457513110645898</v>
      </c>
      <c r="AF37" s="379">
        <v>0</v>
      </c>
      <c r="AG37" s="379">
        <v>0</v>
      </c>
      <c r="AH37" s="379">
        <v>1.50723779704014</v>
      </c>
      <c r="AI37" s="379">
        <f>3.47706965209431+(3.33204954107276/21)</f>
        <v>3.6357386778596794</v>
      </c>
      <c r="AJ37" s="379">
        <v>0</v>
      </c>
      <c r="AK37" s="379">
        <f>1.37998964413308+(1.41497117678151/12)</f>
        <v>1.4979039088648725</v>
      </c>
      <c r="AL37" s="379">
        <v>0</v>
      </c>
      <c r="AM37" s="379">
        <v>0</v>
      </c>
      <c r="AN37" s="379">
        <v>0</v>
      </c>
      <c r="AO37" s="379">
        <v>0</v>
      </c>
      <c r="AP37" s="379">
        <v>0</v>
      </c>
      <c r="AQ37" s="379">
        <v>0</v>
      </c>
      <c r="AR37" s="379">
        <v>1.4142135623731</v>
      </c>
      <c r="AS37" s="379">
        <v>0</v>
      </c>
      <c r="AT37" s="379">
        <v>0</v>
      </c>
      <c r="AU37" s="379">
        <f>2+(2/14)</f>
        <v>2.1428571428571428</v>
      </c>
      <c r="AV37" s="379">
        <v>0</v>
      </c>
      <c r="AW37" s="379">
        <v>0</v>
      </c>
      <c r="AX37" s="379">
        <v>0.92114323431897205</v>
      </c>
      <c r="AY37" s="379">
        <v>6.4626455261937304E-2</v>
      </c>
      <c r="AZ37" s="379">
        <v>0</v>
      </c>
      <c r="BA37" s="379">
        <v>0</v>
      </c>
      <c r="BB37" s="379">
        <v>0</v>
      </c>
      <c r="BC37" s="379">
        <v>0</v>
      </c>
      <c r="BD37" s="379">
        <v>0</v>
      </c>
    </row>
    <row r="38" spans="1:56" x14ac:dyDescent="0.25">
      <c r="A38" s="378">
        <v>36</v>
      </c>
      <c r="B38" s="376" t="s">
        <v>467</v>
      </c>
      <c r="C38" s="379">
        <v>0</v>
      </c>
      <c r="D38" s="379">
        <v>0</v>
      </c>
      <c r="E38" s="379">
        <v>0</v>
      </c>
      <c r="F38" s="379">
        <v>0</v>
      </c>
      <c r="G38" s="379">
        <v>0</v>
      </c>
      <c r="H38" s="379">
        <v>0</v>
      </c>
      <c r="I38" s="379">
        <v>0</v>
      </c>
      <c r="J38" s="379">
        <v>0</v>
      </c>
      <c r="K38" s="379">
        <v>0</v>
      </c>
      <c r="L38" s="379">
        <v>0</v>
      </c>
      <c r="M38" s="379">
        <v>0</v>
      </c>
      <c r="N38" s="379">
        <v>0</v>
      </c>
      <c r="O38" s="379">
        <v>0</v>
      </c>
      <c r="P38" s="379">
        <v>0</v>
      </c>
      <c r="Q38" s="379">
        <v>0</v>
      </c>
      <c r="R38" s="379">
        <v>0</v>
      </c>
      <c r="S38" s="379">
        <v>0</v>
      </c>
      <c r="T38" s="379">
        <v>0</v>
      </c>
      <c r="U38" s="379">
        <v>0</v>
      </c>
      <c r="V38" s="381">
        <v>2.2336497286200467</v>
      </c>
      <c r="W38" s="379">
        <v>0</v>
      </c>
      <c r="X38" s="379">
        <v>0</v>
      </c>
      <c r="Y38" s="379">
        <v>0</v>
      </c>
      <c r="Z38" s="379">
        <v>0</v>
      </c>
      <c r="AA38" s="379">
        <v>0</v>
      </c>
      <c r="AB38" s="379">
        <v>0</v>
      </c>
      <c r="AC38" s="379">
        <f>2.93897489178382+(3.17251677289325/17)</f>
        <v>3.1255935254834233</v>
      </c>
      <c r="AD38" s="379">
        <v>0</v>
      </c>
      <c r="AE38" s="379">
        <v>0</v>
      </c>
      <c r="AF38" s="379">
        <v>0</v>
      </c>
      <c r="AG38" s="379">
        <v>0</v>
      </c>
      <c r="AH38" s="379">
        <v>0</v>
      </c>
      <c r="AI38" s="379">
        <f>3.42873706463442+(3.33204954107276/21)</f>
        <v>3.5874060903997895</v>
      </c>
      <c r="AJ38" s="379">
        <v>0</v>
      </c>
      <c r="AK38" s="379">
        <v>0</v>
      </c>
      <c r="AL38" s="379">
        <v>0</v>
      </c>
      <c r="AM38" s="379">
        <v>0</v>
      </c>
      <c r="AN38" s="379">
        <v>0</v>
      </c>
      <c r="AO38" s="379">
        <v>0</v>
      </c>
      <c r="AP38" s="379">
        <v>0</v>
      </c>
      <c r="AQ38" s="379">
        <v>0</v>
      </c>
      <c r="AR38" s="379">
        <v>0</v>
      </c>
      <c r="AS38" s="379">
        <v>0</v>
      </c>
      <c r="AT38" s="379">
        <v>0</v>
      </c>
      <c r="AU38" s="379">
        <f>2+(2/14)</f>
        <v>2.1428571428571428</v>
      </c>
      <c r="AV38" s="379">
        <v>0</v>
      </c>
      <c r="AW38" s="379">
        <v>0</v>
      </c>
      <c r="AX38" s="379">
        <v>0</v>
      </c>
      <c r="AY38" s="379">
        <v>0</v>
      </c>
      <c r="AZ38" s="379">
        <v>0</v>
      </c>
      <c r="BA38" s="379">
        <v>0</v>
      </c>
      <c r="BB38" s="379">
        <v>0</v>
      </c>
      <c r="BC38" s="379">
        <v>0</v>
      </c>
      <c r="BD38" s="379">
        <v>0</v>
      </c>
    </row>
    <row r="39" spans="1:56" x14ac:dyDescent="0.25">
      <c r="A39" s="378">
        <v>37</v>
      </c>
      <c r="B39" s="376" t="s">
        <v>469</v>
      </c>
      <c r="C39" s="379">
        <v>0</v>
      </c>
      <c r="D39" s="379">
        <v>0</v>
      </c>
      <c r="E39" s="379">
        <v>0</v>
      </c>
      <c r="F39" s="379">
        <v>0</v>
      </c>
      <c r="G39" s="379">
        <v>0</v>
      </c>
      <c r="H39" s="379">
        <v>0</v>
      </c>
      <c r="I39" s="379">
        <v>0</v>
      </c>
      <c r="J39" s="379">
        <v>0</v>
      </c>
      <c r="K39" s="379">
        <v>0</v>
      </c>
      <c r="L39" s="379">
        <v>0</v>
      </c>
      <c r="M39" s="379">
        <v>0</v>
      </c>
      <c r="N39" s="379">
        <v>0</v>
      </c>
      <c r="O39" s="379">
        <v>0</v>
      </c>
      <c r="P39" s="379">
        <v>0</v>
      </c>
      <c r="Q39" s="379">
        <v>0</v>
      </c>
      <c r="R39" s="379">
        <v>0</v>
      </c>
      <c r="S39" s="379">
        <v>3.16227766016838</v>
      </c>
      <c r="T39" s="379">
        <v>0</v>
      </c>
      <c r="U39" s="379">
        <v>0</v>
      </c>
      <c r="V39" s="381">
        <v>0</v>
      </c>
      <c r="W39" s="379">
        <f>3.08697453256516+(3.13896484116559/16)</f>
        <v>3.2831598351380094</v>
      </c>
      <c r="X39" s="379">
        <v>1.7320508075688801</v>
      </c>
      <c r="Y39" s="379">
        <v>1.7320508075688801</v>
      </c>
      <c r="Z39" s="379">
        <v>0</v>
      </c>
      <c r="AA39" s="379">
        <v>0</v>
      </c>
      <c r="AB39" s="379">
        <v>1.9297807450727977</v>
      </c>
      <c r="AC39" s="379">
        <f>1.95607646600383+(3.17251677289325/17)</f>
        <v>2.1426950997034329</v>
      </c>
      <c r="AD39" s="379">
        <v>1.96143594692384</v>
      </c>
      <c r="AE39" s="379">
        <v>0</v>
      </c>
      <c r="AF39" s="379">
        <v>1.41421356237309</v>
      </c>
      <c r="AG39" s="379">
        <v>0</v>
      </c>
      <c r="AH39" s="379">
        <v>4.1231056256176597</v>
      </c>
      <c r="AI39" s="384" t="s">
        <v>2939</v>
      </c>
      <c r="AJ39" s="379">
        <v>0</v>
      </c>
      <c r="AK39" s="379">
        <v>0</v>
      </c>
      <c r="AL39" s="379">
        <v>0</v>
      </c>
      <c r="AM39" s="379">
        <v>0</v>
      </c>
      <c r="AN39" s="379">
        <v>0</v>
      </c>
      <c r="AO39" s="379">
        <v>0</v>
      </c>
      <c r="AP39" s="379">
        <v>0</v>
      </c>
      <c r="AQ39" s="379">
        <v>0</v>
      </c>
      <c r="AR39" s="379">
        <v>0</v>
      </c>
      <c r="AS39" s="379">
        <v>0</v>
      </c>
      <c r="AT39" s="379">
        <v>0</v>
      </c>
      <c r="AU39" s="379">
        <v>0</v>
      </c>
      <c r="AV39" s="379">
        <v>0</v>
      </c>
      <c r="AW39" s="379">
        <v>0</v>
      </c>
      <c r="AX39" s="379">
        <v>0</v>
      </c>
      <c r="AY39" s="379">
        <v>0</v>
      </c>
      <c r="AZ39" s="379">
        <v>0</v>
      </c>
      <c r="BA39" s="379">
        <v>0</v>
      </c>
      <c r="BB39" s="379">
        <v>0</v>
      </c>
      <c r="BC39" s="379">
        <v>0</v>
      </c>
      <c r="BD39" s="379">
        <v>0</v>
      </c>
    </row>
    <row r="40" spans="1:56" x14ac:dyDescent="0.25">
      <c r="A40" s="378">
        <v>38</v>
      </c>
      <c r="B40" s="376" t="s">
        <v>470</v>
      </c>
      <c r="C40" s="379">
        <v>0</v>
      </c>
      <c r="D40" s="379">
        <v>0</v>
      </c>
      <c r="E40" s="379">
        <v>0</v>
      </c>
      <c r="F40" s="379">
        <v>0</v>
      </c>
      <c r="G40" s="379">
        <v>0</v>
      </c>
      <c r="H40" s="379">
        <v>0</v>
      </c>
      <c r="I40" s="379">
        <v>0</v>
      </c>
      <c r="J40" s="379">
        <v>3.74165738677394</v>
      </c>
      <c r="K40" s="379">
        <f>0.916515138991168+(1.73205080756888/10)</f>
        <v>1.089720219748056</v>
      </c>
      <c r="L40" s="379">
        <v>0</v>
      </c>
      <c r="M40" s="379">
        <v>0</v>
      </c>
      <c r="N40" s="379">
        <v>0</v>
      </c>
      <c r="O40" s="379">
        <v>1.7320508075688801</v>
      </c>
      <c r="P40" s="379">
        <v>0</v>
      </c>
      <c r="Q40" s="379">
        <f>2.23606797749979+(1.17124557190675/10)</f>
        <v>2.3531925346904647</v>
      </c>
      <c r="R40" s="379">
        <v>0</v>
      </c>
      <c r="S40" s="379">
        <v>1.4105443586736699</v>
      </c>
      <c r="T40" s="379">
        <v>0</v>
      </c>
      <c r="U40" s="379">
        <v>0</v>
      </c>
      <c r="V40" s="381">
        <v>1.7835144005372356</v>
      </c>
      <c r="W40" s="379">
        <f>1.79068727598867+(3.13896484116559/16)</f>
        <v>1.9868725785615196</v>
      </c>
      <c r="X40" s="379">
        <v>1.7320508075688801</v>
      </c>
      <c r="Y40" s="379">
        <v>1.7320508075688801</v>
      </c>
      <c r="Z40" s="379">
        <v>2.14853118174151</v>
      </c>
      <c r="AA40" s="379">
        <v>0</v>
      </c>
      <c r="AB40" s="379">
        <v>0</v>
      </c>
      <c r="AC40" s="379">
        <v>0</v>
      </c>
      <c r="AD40" s="379">
        <v>1.3038787257406801</v>
      </c>
      <c r="AE40" s="379">
        <v>1.6331422430699101</v>
      </c>
      <c r="AF40" s="379">
        <v>0</v>
      </c>
      <c r="AG40" s="379">
        <v>3</v>
      </c>
      <c r="AH40" s="379">
        <v>4.1231056256176597</v>
      </c>
      <c r="AI40" s="379">
        <f>1.83703995602406+(3.33204954107276/21)</f>
        <v>1.9957089817894296</v>
      </c>
      <c r="AJ40" s="379">
        <v>0</v>
      </c>
      <c r="AK40" s="379">
        <f>1.17900470899497+(1.41497117678151/12)</f>
        <v>1.2969189737267626</v>
      </c>
      <c r="AL40" s="379">
        <v>0</v>
      </c>
      <c r="AM40" s="379">
        <v>0</v>
      </c>
      <c r="AN40" s="379">
        <f>1.4395766573479+(2.64575131106459/8)</f>
        <v>1.7702955712309738</v>
      </c>
      <c r="AO40" s="379">
        <v>0</v>
      </c>
      <c r="AP40" s="379">
        <f>1.93372349780155+(3.16227766016838/10)</f>
        <v>2.2499512638183878</v>
      </c>
      <c r="AQ40" s="379">
        <v>0</v>
      </c>
      <c r="AR40" s="379">
        <v>0</v>
      </c>
      <c r="AS40" s="379">
        <v>0</v>
      </c>
      <c r="AT40" s="379">
        <v>0</v>
      </c>
      <c r="AU40" s="379">
        <f>2+(2/14)</f>
        <v>2.1428571428571428</v>
      </c>
      <c r="AV40" s="379">
        <v>0</v>
      </c>
      <c r="AW40" s="379">
        <v>0</v>
      </c>
      <c r="AX40" s="379">
        <v>0</v>
      </c>
      <c r="AY40" s="379">
        <v>0</v>
      </c>
      <c r="AZ40" s="379">
        <v>0</v>
      </c>
      <c r="BA40" s="379">
        <v>0</v>
      </c>
      <c r="BB40" s="379">
        <v>0</v>
      </c>
      <c r="BC40" s="379">
        <v>0</v>
      </c>
      <c r="BD40" s="379">
        <v>0</v>
      </c>
    </row>
    <row r="41" spans="1:56" x14ac:dyDescent="0.25">
      <c r="A41" s="378">
        <v>39</v>
      </c>
      <c r="B41" s="376" t="s">
        <v>471</v>
      </c>
      <c r="C41" s="379">
        <v>0</v>
      </c>
      <c r="D41" s="379">
        <v>0</v>
      </c>
      <c r="E41" s="379">
        <v>0</v>
      </c>
      <c r="F41" s="379">
        <v>0</v>
      </c>
      <c r="G41" s="379">
        <v>0</v>
      </c>
      <c r="H41" s="379">
        <v>0</v>
      </c>
      <c r="I41" s="379">
        <v>0</v>
      </c>
      <c r="J41" s="379">
        <v>0</v>
      </c>
      <c r="K41" s="379">
        <v>0</v>
      </c>
      <c r="L41" s="379">
        <v>0</v>
      </c>
      <c r="M41" s="379">
        <v>0</v>
      </c>
      <c r="N41" s="379">
        <v>0</v>
      </c>
      <c r="O41" s="379">
        <v>1.7320508075688801</v>
      </c>
      <c r="P41" s="379">
        <v>0</v>
      </c>
      <c r="Q41" s="379">
        <v>0</v>
      </c>
      <c r="R41" s="379">
        <v>0</v>
      </c>
      <c r="S41" s="379">
        <v>3.16227766016838</v>
      </c>
      <c r="T41" s="379">
        <v>0</v>
      </c>
      <c r="U41" s="379">
        <v>0</v>
      </c>
      <c r="V41" s="381">
        <v>0</v>
      </c>
      <c r="W41" s="379">
        <f>2.37759957065982+(3.13896484116559/16)</f>
        <v>2.5737848732326691</v>
      </c>
      <c r="X41" s="379">
        <v>0</v>
      </c>
      <c r="Y41" s="379">
        <v>0</v>
      </c>
      <c r="Z41" s="379">
        <v>0</v>
      </c>
      <c r="AA41" s="379">
        <v>1.3247063748811301</v>
      </c>
      <c r="AB41" s="379">
        <v>0</v>
      </c>
      <c r="AC41" s="379">
        <v>0</v>
      </c>
      <c r="AD41" s="379">
        <v>1.7720453592123699</v>
      </c>
      <c r="AE41" s="379">
        <v>2.6457513110645898</v>
      </c>
      <c r="AF41" s="379">
        <v>0</v>
      </c>
      <c r="AG41" s="379">
        <v>0</v>
      </c>
      <c r="AH41" s="379">
        <v>4.1231056256176597</v>
      </c>
      <c r="AI41" s="379">
        <f>3.39411787969631+(3.33204954107276/21)</f>
        <v>3.5527869054616796</v>
      </c>
      <c r="AJ41" s="379">
        <v>0</v>
      </c>
      <c r="AK41" s="379">
        <v>0</v>
      </c>
      <c r="AL41" s="379">
        <v>0</v>
      </c>
      <c r="AM41" s="379">
        <v>0</v>
      </c>
      <c r="AN41" s="379">
        <f>2.64575131106459+(2.64575131106459/8)</f>
        <v>2.9764702249476636</v>
      </c>
      <c r="AO41" s="379">
        <v>0</v>
      </c>
      <c r="AP41" s="379">
        <f>1.31065472284146+(3.16227766016838/10)</f>
        <v>1.626882488858298</v>
      </c>
      <c r="AQ41" s="379">
        <v>0</v>
      </c>
      <c r="AR41" s="379">
        <v>0</v>
      </c>
      <c r="AS41" s="379">
        <v>0</v>
      </c>
      <c r="AT41" s="379">
        <v>0</v>
      </c>
      <c r="AU41" s="379">
        <v>0</v>
      </c>
      <c r="AV41" s="379">
        <v>0</v>
      </c>
      <c r="AW41" s="379">
        <v>0</v>
      </c>
      <c r="AX41" s="379">
        <v>0</v>
      </c>
      <c r="AY41" s="379">
        <v>0</v>
      </c>
      <c r="AZ41" s="379">
        <v>0</v>
      </c>
      <c r="BA41" s="379">
        <v>0</v>
      </c>
      <c r="BB41" s="379">
        <v>0</v>
      </c>
      <c r="BC41" s="379">
        <v>0</v>
      </c>
      <c r="BD41" s="379">
        <v>0</v>
      </c>
    </row>
    <row r="42" spans="1:56" x14ac:dyDescent="0.25">
      <c r="A42" s="378">
        <v>40</v>
      </c>
      <c r="B42" s="376" t="s">
        <v>473</v>
      </c>
      <c r="C42" s="379">
        <v>0</v>
      </c>
      <c r="D42" s="379">
        <v>0</v>
      </c>
      <c r="E42" s="379">
        <v>0</v>
      </c>
      <c r="F42" s="379">
        <v>0</v>
      </c>
      <c r="G42" s="379">
        <v>0</v>
      </c>
      <c r="H42" s="379">
        <v>0</v>
      </c>
      <c r="I42" s="379">
        <v>0</v>
      </c>
      <c r="J42" s="379">
        <v>1.97643201723978</v>
      </c>
      <c r="K42" s="379">
        <f>0.975117331869412+(1.73205080756888/10)</f>
        <v>1.1483224126263001</v>
      </c>
      <c r="L42" s="379">
        <v>2.8284271247461898</v>
      </c>
      <c r="M42" s="379">
        <v>0</v>
      </c>
      <c r="N42" s="379">
        <v>0</v>
      </c>
      <c r="O42" s="379">
        <v>0.245593165864533</v>
      </c>
      <c r="P42" s="379">
        <v>4.8676464973833001E-3</v>
      </c>
      <c r="Q42" s="379">
        <f>2.22226548770879+(1.17124557190675/10)</f>
        <v>2.3393900448994649</v>
      </c>
      <c r="R42" s="379">
        <f>1.41208338097589+(2/8)</f>
        <v>1.6620833809758899</v>
      </c>
      <c r="S42" s="379">
        <v>0.65044799107045004</v>
      </c>
      <c r="T42" s="379">
        <v>0</v>
      </c>
      <c r="U42" s="379">
        <v>1.99863199277084</v>
      </c>
      <c r="V42" s="381">
        <v>0.63774088563220688</v>
      </c>
      <c r="W42" s="379">
        <f>0.853081667940213+(3.13896484116559/16)</f>
        <v>1.0492669705130624</v>
      </c>
      <c r="X42" s="379">
        <v>1.5534615572274899</v>
      </c>
      <c r="Y42" s="379">
        <v>1.5534615572274899</v>
      </c>
      <c r="Z42" s="379">
        <v>1.06359901815484</v>
      </c>
      <c r="AA42" s="379">
        <v>0.45084298085993801</v>
      </c>
      <c r="AB42" s="379">
        <v>1.6397596565896317</v>
      </c>
      <c r="AC42" s="379">
        <f>1.13362929910411+(3.17251677289325/17)</f>
        <v>1.3202479328037129</v>
      </c>
      <c r="AD42" s="379">
        <v>0.17654162941029</v>
      </c>
      <c r="AE42" s="379">
        <v>1.0122684250310101</v>
      </c>
      <c r="AF42" s="379">
        <v>0</v>
      </c>
      <c r="AG42" s="379">
        <v>2.4617870391101802</v>
      </c>
      <c r="AH42" s="379">
        <v>1.5028890768760601</v>
      </c>
      <c r="AI42" s="379">
        <f>1.14512284796774+(3.33204954107276/21)</f>
        <v>1.3037918737331096</v>
      </c>
      <c r="AJ42" s="379">
        <v>0</v>
      </c>
      <c r="AK42" s="379">
        <f>1.29371156173869+(1.41497117678151/12)</f>
        <v>1.4116258264704826</v>
      </c>
      <c r="AL42" s="379">
        <v>0</v>
      </c>
      <c r="AM42" s="379">
        <v>0</v>
      </c>
      <c r="AN42" s="379">
        <f>0.313049516849971+(2.64575131106459/8)</f>
        <v>0.64376843073304468</v>
      </c>
      <c r="AO42" s="379">
        <v>0</v>
      </c>
      <c r="AP42" s="379">
        <f>1.13819342768121+(3.16227766016838/10)</f>
        <v>1.454421193698048</v>
      </c>
      <c r="AQ42" s="379">
        <v>0</v>
      </c>
      <c r="AR42" s="379">
        <v>1.2703453999562799</v>
      </c>
      <c r="AS42" s="379">
        <v>0</v>
      </c>
      <c r="AT42" s="379">
        <v>0</v>
      </c>
      <c r="AU42" s="379">
        <f>1.62169150231687+(2/14)</f>
        <v>1.7645486451740129</v>
      </c>
      <c r="AV42" s="379">
        <v>0</v>
      </c>
      <c r="AW42" s="379">
        <v>0</v>
      </c>
      <c r="AX42" s="379">
        <v>0</v>
      </c>
      <c r="AY42" s="379">
        <v>0.91651513899116799</v>
      </c>
      <c r="AZ42" s="379">
        <v>0</v>
      </c>
      <c r="BA42" s="379">
        <v>0</v>
      </c>
      <c r="BB42" s="379">
        <v>0</v>
      </c>
      <c r="BC42" s="379">
        <v>0</v>
      </c>
      <c r="BD42" s="379">
        <v>0</v>
      </c>
    </row>
    <row r="43" spans="1:56" x14ac:dyDescent="0.25">
      <c r="A43" s="378">
        <v>41</v>
      </c>
      <c r="B43" s="376" t="s">
        <v>475</v>
      </c>
      <c r="C43" s="379">
        <v>0</v>
      </c>
      <c r="D43" s="379">
        <v>0</v>
      </c>
      <c r="E43" s="379">
        <v>0</v>
      </c>
      <c r="F43" s="379">
        <v>0</v>
      </c>
      <c r="G43" s="379">
        <v>0</v>
      </c>
      <c r="H43" s="379">
        <v>0</v>
      </c>
      <c r="I43" s="379">
        <v>0</v>
      </c>
      <c r="J43" s="379">
        <v>0</v>
      </c>
      <c r="K43" s="379">
        <v>0</v>
      </c>
      <c r="L43" s="379">
        <v>0</v>
      </c>
      <c r="M43" s="379">
        <v>0</v>
      </c>
      <c r="N43" s="379">
        <v>0</v>
      </c>
      <c r="O43" s="379">
        <v>0</v>
      </c>
      <c r="P43" s="379">
        <v>0</v>
      </c>
      <c r="Q43" s="379">
        <v>0</v>
      </c>
      <c r="R43" s="379">
        <v>0</v>
      </c>
      <c r="S43" s="379">
        <v>0</v>
      </c>
      <c r="T43" s="379">
        <v>0</v>
      </c>
      <c r="U43" s="379">
        <v>0</v>
      </c>
      <c r="V43" s="381">
        <v>0</v>
      </c>
      <c r="W43" s="379">
        <v>0</v>
      </c>
      <c r="X43" s="379">
        <v>0</v>
      </c>
      <c r="Y43" s="379">
        <v>0</v>
      </c>
      <c r="Z43" s="379">
        <v>0</v>
      </c>
      <c r="AA43" s="379">
        <v>0</v>
      </c>
      <c r="AB43" s="379">
        <v>0</v>
      </c>
      <c r="AC43" s="379">
        <v>0</v>
      </c>
      <c r="AD43" s="379">
        <v>0</v>
      </c>
      <c r="AE43" s="379">
        <v>0</v>
      </c>
      <c r="AF43" s="379">
        <v>0</v>
      </c>
      <c r="AG43" s="379">
        <v>0</v>
      </c>
      <c r="AH43" s="379">
        <v>0</v>
      </c>
      <c r="AI43" s="379">
        <v>0</v>
      </c>
      <c r="AJ43" s="379">
        <v>0</v>
      </c>
      <c r="AK43" s="379">
        <v>0</v>
      </c>
      <c r="AL43" s="379">
        <v>0</v>
      </c>
      <c r="AM43" s="379">
        <v>0</v>
      </c>
      <c r="AN43" s="379">
        <v>0</v>
      </c>
      <c r="AO43" s="379">
        <v>0</v>
      </c>
      <c r="AP43" s="379">
        <v>0</v>
      </c>
      <c r="AQ43" s="379">
        <v>0</v>
      </c>
      <c r="AR43" s="379">
        <v>0</v>
      </c>
      <c r="AS43" s="379">
        <v>0</v>
      </c>
      <c r="AT43" s="379">
        <v>0</v>
      </c>
      <c r="AU43" s="379">
        <v>0</v>
      </c>
      <c r="AV43" s="379">
        <v>0</v>
      </c>
      <c r="AW43" s="379">
        <v>0</v>
      </c>
      <c r="AX43" s="379">
        <v>0</v>
      </c>
      <c r="AY43" s="379">
        <v>0</v>
      </c>
      <c r="AZ43" s="379">
        <v>0</v>
      </c>
      <c r="BA43" s="379">
        <v>0</v>
      </c>
      <c r="BB43" s="379">
        <v>0</v>
      </c>
      <c r="BC43" s="379">
        <v>0</v>
      </c>
      <c r="BD43" s="379">
        <v>0</v>
      </c>
    </row>
    <row r="44" spans="1:56" x14ac:dyDescent="0.25">
      <c r="A44" s="378">
        <v>42</v>
      </c>
      <c r="B44" s="376" t="s">
        <v>477</v>
      </c>
      <c r="C44" s="379">
        <v>0</v>
      </c>
      <c r="D44" s="379">
        <v>0</v>
      </c>
      <c r="E44" s="379">
        <v>0</v>
      </c>
      <c r="F44" s="379">
        <v>0</v>
      </c>
      <c r="G44" s="379">
        <v>0</v>
      </c>
      <c r="H44" s="379">
        <v>0</v>
      </c>
      <c r="I44" s="379">
        <v>0</v>
      </c>
      <c r="J44" s="379">
        <v>0</v>
      </c>
      <c r="K44" s="379">
        <v>0</v>
      </c>
      <c r="L44" s="379">
        <v>0</v>
      </c>
      <c r="M44" s="379">
        <v>0</v>
      </c>
      <c r="N44" s="379">
        <v>0</v>
      </c>
      <c r="O44" s="379">
        <v>0</v>
      </c>
      <c r="P44" s="379">
        <v>0</v>
      </c>
      <c r="Q44" s="379">
        <v>0</v>
      </c>
      <c r="R44" s="379">
        <v>0</v>
      </c>
      <c r="S44" s="379">
        <v>0</v>
      </c>
      <c r="T44" s="379">
        <v>0</v>
      </c>
      <c r="U44" s="379">
        <v>0</v>
      </c>
      <c r="V44" s="381">
        <v>0</v>
      </c>
      <c r="W44" s="379">
        <v>0</v>
      </c>
      <c r="X44" s="379">
        <v>0</v>
      </c>
      <c r="Y44" s="379">
        <v>0</v>
      </c>
      <c r="Z44" s="379">
        <v>0</v>
      </c>
      <c r="AA44" s="379">
        <v>0</v>
      </c>
      <c r="AB44" s="379">
        <v>0</v>
      </c>
      <c r="AC44" s="379">
        <v>0</v>
      </c>
      <c r="AD44" s="379">
        <v>0</v>
      </c>
      <c r="AE44" s="379">
        <v>0</v>
      </c>
      <c r="AF44" s="379">
        <v>0</v>
      </c>
      <c r="AG44" s="379">
        <v>0</v>
      </c>
      <c r="AH44" s="379">
        <v>0</v>
      </c>
      <c r="AI44" s="379">
        <v>0</v>
      </c>
      <c r="AJ44" s="379">
        <v>0</v>
      </c>
      <c r="AK44" s="379">
        <v>0</v>
      </c>
      <c r="AL44" s="379">
        <v>0</v>
      </c>
      <c r="AM44" s="379">
        <v>0</v>
      </c>
      <c r="AN44" s="379">
        <v>0</v>
      </c>
      <c r="AO44" s="379">
        <v>0</v>
      </c>
      <c r="AP44" s="379">
        <v>0</v>
      </c>
      <c r="AQ44" s="379">
        <v>0</v>
      </c>
      <c r="AR44" s="379">
        <v>0</v>
      </c>
      <c r="AS44" s="379">
        <v>0</v>
      </c>
      <c r="AT44" s="379">
        <v>0</v>
      </c>
      <c r="AU44" s="379">
        <v>0</v>
      </c>
      <c r="AV44" s="379">
        <v>0</v>
      </c>
      <c r="AW44" s="379">
        <v>0</v>
      </c>
      <c r="AX44" s="379">
        <v>0</v>
      </c>
      <c r="AY44" s="379">
        <v>0</v>
      </c>
      <c r="AZ44" s="379">
        <v>0</v>
      </c>
      <c r="BA44" s="379">
        <v>0</v>
      </c>
      <c r="BB44" s="379">
        <v>0</v>
      </c>
      <c r="BC44" s="379">
        <v>0</v>
      </c>
      <c r="BD44" s="379">
        <v>0</v>
      </c>
    </row>
    <row r="45" spans="1:56" x14ac:dyDescent="0.25">
      <c r="A45" s="378">
        <v>43</v>
      </c>
      <c r="B45" s="376" t="s">
        <v>479</v>
      </c>
      <c r="C45" s="379">
        <v>0</v>
      </c>
      <c r="D45" s="379">
        <v>0</v>
      </c>
      <c r="E45" s="379">
        <v>0</v>
      </c>
      <c r="F45" s="379">
        <v>0</v>
      </c>
      <c r="G45" s="379">
        <v>0</v>
      </c>
      <c r="H45" s="379">
        <v>0</v>
      </c>
      <c r="I45" s="379">
        <v>0</v>
      </c>
      <c r="J45" s="379">
        <v>0</v>
      </c>
      <c r="K45" s="379">
        <v>0</v>
      </c>
      <c r="L45" s="379">
        <v>0</v>
      </c>
      <c r="M45" s="379">
        <v>0</v>
      </c>
      <c r="N45" s="379">
        <v>0</v>
      </c>
      <c r="O45" s="379">
        <v>0</v>
      </c>
      <c r="P45" s="379">
        <v>0</v>
      </c>
      <c r="Q45" s="379">
        <v>0</v>
      </c>
      <c r="R45" s="379">
        <v>0</v>
      </c>
      <c r="S45" s="379">
        <v>0</v>
      </c>
      <c r="T45" s="379">
        <v>0</v>
      </c>
      <c r="U45" s="379">
        <v>0</v>
      </c>
      <c r="V45" s="381">
        <v>0</v>
      </c>
      <c r="W45" s="379">
        <v>0</v>
      </c>
      <c r="X45" s="379">
        <v>0</v>
      </c>
      <c r="Y45" s="379">
        <v>0</v>
      </c>
      <c r="Z45" s="379">
        <v>0</v>
      </c>
      <c r="AA45" s="379">
        <v>0</v>
      </c>
      <c r="AB45" s="379">
        <v>0</v>
      </c>
      <c r="AC45" s="379">
        <v>0</v>
      </c>
      <c r="AD45" s="379">
        <v>0</v>
      </c>
      <c r="AE45" s="379">
        <v>0</v>
      </c>
      <c r="AF45" s="379">
        <v>0</v>
      </c>
      <c r="AG45" s="379">
        <v>0</v>
      </c>
      <c r="AH45" s="379">
        <v>0</v>
      </c>
      <c r="AI45" s="379">
        <v>0</v>
      </c>
      <c r="AJ45" s="379">
        <v>0</v>
      </c>
      <c r="AK45" s="379">
        <v>0</v>
      </c>
      <c r="AL45" s="379">
        <v>0</v>
      </c>
      <c r="AM45" s="379">
        <v>0</v>
      </c>
      <c r="AN45" s="379">
        <v>0</v>
      </c>
      <c r="AO45" s="379">
        <v>0</v>
      </c>
      <c r="AP45" s="379">
        <v>0</v>
      </c>
      <c r="AQ45" s="379">
        <v>0</v>
      </c>
      <c r="AR45" s="379">
        <v>0</v>
      </c>
      <c r="AS45" s="379">
        <v>0</v>
      </c>
      <c r="AT45" s="379">
        <v>0</v>
      </c>
      <c r="AU45" s="379">
        <v>0</v>
      </c>
      <c r="AV45" s="379">
        <v>0</v>
      </c>
      <c r="AW45" s="379">
        <v>0</v>
      </c>
      <c r="AX45" s="379">
        <v>0</v>
      </c>
      <c r="AY45" s="379">
        <v>0</v>
      </c>
      <c r="AZ45" s="379">
        <v>0</v>
      </c>
      <c r="BA45" s="379">
        <v>0</v>
      </c>
      <c r="BB45" s="379">
        <v>0</v>
      </c>
      <c r="BC45" s="379">
        <v>0</v>
      </c>
      <c r="BD45" s="379">
        <v>0</v>
      </c>
    </row>
    <row r="46" spans="1:56" x14ac:dyDescent="0.25">
      <c r="A46" s="378">
        <v>44</v>
      </c>
      <c r="B46" s="376" t="s">
        <v>481</v>
      </c>
      <c r="C46" s="379">
        <v>0</v>
      </c>
      <c r="D46" s="379">
        <v>0</v>
      </c>
      <c r="E46" s="379">
        <v>0</v>
      </c>
      <c r="F46" s="379">
        <v>0</v>
      </c>
      <c r="G46" s="379">
        <v>0</v>
      </c>
      <c r="H46" s="379">
        <v>0</v>
      </c>
      <c r="I46" s="379">
        <v>0</v>
      </c>
      <c r="J46" s="379">
        <v>0</v>
      </c>
      <c r="K46" s="379">
        <v>0</v>
      </c>
      <c r="L46" s="379">
        <v>0</v>
      </c>
      <c r="M46" s="379">
        <v>0</v>
      </c>
      <c r="N46" s="379">
        <v>0</v>
      </c>
      <c r="O46" s="379">
        <v>0</v>
      </c>
      <c r="P46" s="379">
        <v>0</v>
      </c>
      <c r="Q46" s="379">
        <v>0</v>
      </c>
      <c r="R46" s="379">
        <v>0</v>
      </c>
      <c r="S46" s="379">
        <v>0</v>
      </c>
      <c r="T46" s="379">
        <v>0</v>
      </c>
      <c r="U46" s="379">
        <v>0</v>
      </c>
      <c r="V46" s="381">
        <v>0</v>
      </c>
      <c r="W46" s="379">
        <v>0</v>
      </c>
      <c r="X46" s="379">
        <v>0</v>
      </c>
      <c r="Y46" s="379">
        <v>0</v>
      </c>
      <c r="Z46" s="379">
        <v>0</v>
      </c>
      <c r="AA46" s="379">
        <v>0</v>
      </c>
      <c r="AB46" s="379">
        <v>0</v>
      </c>
      <c r="AC46" s="379">
        <v>0</v>
      </c>
      <c r="AD46" s="379">
        <v>0</v>
      </c>
      <c r="AE46" s="379">
        <v>0</v>
      </c>
      <c r="AF46" s="379">
        <v>0</v>
      </c>
      <c r="AG46" s="379">
        <v>0</v>
      </c>
      <c r="AH46" s="379">
        <v>0</v>
      </c>
      <c r="AI46" s="379">
        <v>0</v>
      </c>
      <c r="AJ46" s="379">
        <v>0</v>
      </c>
      <c r="AK46" s="379">
        <v>0</v>
      </c>
      <c r="AL46" s="379">
        <v>0</v>
      </c>
      <c r="AM46" s="379">
        <v>0</v>
      </c>
      <c r="AN46" s="379">
        <v>0</v>
      </c>
      <c r="AO46" s="379">
        <v>0</v>
      </c>
      <c r="AP46" s="379">
        <v>0</v>
      </c>
      <c r="AQ46" s="379">
        <v>0</v>
      </c>
      <c r="AR46" s="379">
        <v>0</v>
      </c>
      <c r="AS46" s="379">
        <v>0</v>
      </c>
      <c r="AT46" s="379">
        <v>0</v>
      </c>
      <c r="AU46" s="379">
        <v>0</v>
      </c>
      <c r="AV46" s="379">
        <v>0</v>
      </c>
      <c r="AW46" s="379">
        <v>0</v>
      </c>
      <c r="AX46" s="379">
        <v>0</v>
      </c>
      <c r="AY46" s="379">
        <v>0</v>
      </c>
      <c r="AZ46" s="379">
        <v>0</v>
      </c>
      <c r="BA46" s="379">
        <v>0</v>
      </c>
      <c r="BB46" s="379">
        <v>0</v>
      </c>
      <c r="BC46" s="379">
        <v>0</v>
      </c>
      <c r="BD46" s="379">
        <v>0</v>
      </c>
    </row>
    <row r="47" spans="1:56" x14ac:dyDescent="0.25">
      <c r="A47" s="378">
        <v>45</v>
      </c>
      <c r="B47" s="376" t="s">
        <v>483</v>
      </c>
      <c r="C47" s="379">
        <v>0</v>
      </c>
      <c r="D47" s="379">
        <v>0</v>
      </c>
      <c r="E47" s="379">
        <v>0</v>
      </c>
      <c r="F47" s="379">
        <v>0</v>
      </c>
      <c r="G47" s="379">
        <v>0</v>
      </c>
      <c r="H47" s="379">
        <v>0</v>
      </c>
      <c r="I47" s="379">
        <v>0</v>
      </c>
      <c r="J47" s="379">
        <v>0</v>
      </c>
      <c r="K47" s="379">
        <v>0</v>
      </c>
      <c r="L47" s="379">
        <v>0</v>
      </c>
      <c r="M47" s="379">
        <v>0</v>
      </c>
      <c r="N47" s="379">
        <v>0</v>
      </c>
      <c r="O47" s="379">
        <v>0</v>
      </c>
      <c r="P47" s="379">
        <v>0</v>
      </c>
      <c r="Q47" s="379">
        <v>0</v>
      </c>
      <c r="R47" s="379">
        <v>0</v>
      </c>
      <c r="S47" s="379">
        <v>0</v>
      </c>
      <c r="T47" s="379">
        <v>0</v>
      </c>
      <c r="U47" s="379">
        <v>0</v>
      </c>
      <c r="V47" s="381">
        <v>0</v>
      </c>
      <c r="W47" s="379">
        <v>0</v>
      </c>
      <c r="X47" s="379">
        <v>0</v>
      </c>
      <c r="Y47" s="379">
        <v>0</v>
      </c>
      <c r="Z47" s="379">
        <v>0</v>
      </c>
      <c r="AA47" s="379">
        <v>0</v>
      </c>
      <c r="AB47" s="379">
        <v>0</v>
      </c>
      <c r="AC47" s="379">
        <v>0</v>
      </c>
      <c r="AD47" s="379">
        <v>0</v>
      </c>
      <c r="AE47" s="379">
        <v>0</v>
      </c>
      <c r="AF47" s="379">
        <v>0</v>
      </c>
      <c r="AG47" s="379">
        <v>0</v>
      </c>
      <c r="AH47" s="379">
        <v>0</v>
      </c>
      <c r="AI47" s="379">
        <v>0</v>
      </c>
      <c r="AJ47" s="379">
        <v>0</v>
      </c>
      <c r="AK47" s="379">
        <v>0</v>
      </c>
      <c r="AL47" s="379">
        <v>0</v>
      </c>
      <c r="AM47" s="379">
        <v>0</v>
      </c>
      <c r="AN47" s="379">
        <v>0</v>
      </c>
      <c r="AO47" s="379">
        <v>0</v>
      </c>
      <c r="AP47" s="379">
        <v>0</v>
      </c>
      <c r="AQ47" s="379">
        <v>0</v>
      </c>
      <c r="AR47" s="379">
        <v>0</v>
      </c>
      <c r="AS47" s="379">
        <v>0</v>
      </c>
      <c r="AT47" s="379">
        <v>0</v>
      </c>
      <c r="AU47" s="379">
        <v>0</v>
      </c>
      <c r="AV47" s="379">
        <v>0</v>
      </c>
      <c r="AW47" s="379">
        <v>0</v>
      </c>
      <c r="AX47" s="379">
        <v>0</v>
      </c>
      <c r="AY47" s="379">
        <v>0</v>
      </c>
      <c r="AZ47" s="379">
        <v>0</v>
      </c>
      <c r="BA47" s="379">
        <v>0</v>
      </c>
      <c r="BB47" s="379">
        <v>0</v>
      </c>
      <c r="BC47" s="379">
        <v>0</v>
      </c>
      <c r="BD47" s="379">
        <v>0</v>
      </c>
    </row>
    <row r="48" spans="1:56" x14ac:dyDescent="0.25">
      <c r="A48" s="378">
        <v>46</v>
      </c>
      <c r="B48" s="376" t="s">
        <v>638</v>
      </c>
      <c r="C48" s="379">
        <v>0</v>
      </c>
      <c r="D48" s="379">
        <v>0</v>
      </c>
      <c r="E48" s="379">
        <v>0</v>
      </c>
      <c r="F48" s="379">
        <v>0</v>
      </c>
      <c r="G48" s="379">
        <v>0</v>
      </c>
      <c r="H48" s="379">
        <v>0</v>
      </c>
      <c r="I48" s="379">
        <v>0</v>
      </c>
      <c r="J48" s="379">
        <v>0</v>
      </c>
      <c r="K48" s="379">
        <v>0</v>
      </c>
      <c r="L48" s="379">
        <v>0</v>
      </c>
      <c r="M48" s="379">
        <v>0</v>
      </c>
      <c r="N48" s="379">
        <v>0</v>
      </c>
      <c r="O48" s="379">
        <v>0</v>
      </c>
      <c r="P48" s="379">
        <v>0</v>
      </c>
      <c r="Q48" s="379">
        <v>0</v>
      </c>
      <c r="R48" s="379">
        <v>0</v>
      </c>
      <c r="S48" s="379">
        <v>0</v>
      </c>
      <c r="T48" s="379">
        <v>0</v>
      </c>
      <c r="U48" s="379">
        <v>0</v>
      </c>
      <c r="V48" s="381">
        <v>0</v>
      </c>
      <c r="W48" s="379">
        <v>0</v>
      </c>
      <c r="X48" s="379">
        <v>0</v>
      </c>
      <c r="Y48" s="379">
        <v>0</v>
      </c>
      <c r="Z48" s="379">
        <v>0</v>
      </c>
      <c r="AA48" s="379">
        <v>0</v>
      </c>
      <c r="AB48" s="379">
        <v>0</v>
      </c>
      <c r="AC48" s="379">
        <v>0</v>
      </c>
      <c r="AD48" s="379">
        <v>0</v>
      </c>
      <c r="AE48" s="379">
        <v>0</v>
      </c>
      <c r="AF48" s="379">
        <v>0</v>
      </c>
      <c r="AG48" s="379">
        <v>0</v>
      </c>
      <c r="AH48" s="379">
        <v>0</v>
      </c>
      <c r="AI48" s="379">
        <v>0</v>
      </c>
      <c r="AJ48" s="379">
        <v>0</v>
      </c>
      <c r="AK48" s="379">
        <v>0</v>
      </c>
      <c r="AL48" s="379">
        <v>0</v>
      </c>
      <c r="AM48" s="379">
        <v>0</v>
      </c>
      <c r="AN48" s="379">
        <v>0</v>
      </c>
      <c r="AO48" s="379">
        <v>0</v>
      </c>
      <c r="AP48" s="379">
        <v>0</v>
      </c>
      <c r="AQ48" s="379">
        <v>0</v>
      </c>
      <c r="AR48" s="379">
        <v>0</v>
      </c>
      <c r="AS48" s="379">
        <v>0</v>
      </c>
      <c r="AT48" s="379">
        <v>0</v>
      </c>
      <c r="AU48" s="379">
        <v>0</v>
      </c>
      <c r="AV48" s="379">
        <v>0</v>
      </c>
      <c r="AW48" s="379">
        <v>0</v>
      </c>
      <c r="AX48" s="379">
        <v>0</v>
      </c>
      <c r="AY48" s="379">
        <v>0</v>
      </c>
      <c r="AZ48" s="379">
        <v>0</v>
      </c>
      <c r="BA48" s="379">
        <v>0</v>
      </c>
      <c r="BB48" s="379">
        <v>0</v>
      </c>
      <c r="BC48" s="379">
        <v>0</v>
      </c>
      <c r="BD48" s="379">
        <v>0</v>
      </c>
    </row>
    <row r="49" spans="1:56" x14ac:dyDescent="0.25">
      <c r="A49" s="378">
        <v>47</v>
      </c>
      <c r="B49" s="376" t="s">
        <v>487</v>
      </c>
      <c r="C49" s="379">
        <v>0</v>
      </c>
      <c r="D49" s="379">
        <v>0</v>
      </c>
      <c r="E49" s="379">
        <v>0</v>
      </c>
      <c r="F49" s="379">
        <v>0</v>
      </c>
      <c r="G49" s="379">
        <v>0</v>
      </c>
      <c r="H49" s="379">
        <v>0</v>
      </c>
      <c r="I49" s="379">
        <v>0</v>
      </c>
      <c r="J49" s="379">
        <v>0</v>
      </c>
      <c r="K49" s="379">
        <v>0</v>
      </c>
      <c r="L49" s="379">
        <v>0</v>
      </c>
      <c r="M49" s="379">
        <v>0</v>
      </c>
      <c r="N49" s="379">
        <v>0</v>
      </c>
      <c r="O49" s="379">
        <v>0</v>
      </c>
      <c r="P49" s="379">
        <v>0</v>
      </c>
      <c r="Q49" s="379">
        <v>0</v>
      </c>
      <c r="R49" s="379">
        <v>0</v>
      </c>
      <c r="S49" s="379">
        <v>0</v>
      </c>
      <c r="T49" s="379">
        <v>0</v>
      </c>
      <c r="U49" s="379">
        <v>0</v>
      </c>
      <c r="V49" s="381">
        <v>0</v>
      </c>
      <c r="W49" s="379">
        <v>0</v>
      </c>
      <c r="X49" s="379">
        <v>0</v>
      </c>
      <c r="Y49" s="379">
        <v>0</v>
      </c>
      <c r="Z49" s="379">
        <v>0</v>
      </c>
      <c r="AA49" s="379">
        <v>0</v>
      </c>
      <c r="AB49" s="379">
        <v>0</v>
      </c>
      <c r="AC49" s="379">
        <v>0</v>
      </c>
      <c r="AD49" s="379">
        <v>0</v>
      </c>
      <c r="AE49" s="379">
        <v>0</v>
      </c>
      <c r="AF49" s="379">
        <v>0</v>
      </c>
      <c r="AG49" s="379">
        <v>0</v>
      </c>
      <c r="AH49" s="379">
        <v>0</v>
      </c>
      <c r="AI49" s="379">
        <v>0</v>
      </c>
      <c r="AJ49" s="379">
        <v>0</v>
      </c>
      <c r="AK49" s="379">
        <v>0</v>
      </c>
      <c r="AL49" s="379">
        <v>0</v>
      </c>
      <c r="AM49" s="379">
        <v>0</v>
      </c>
      <c r="AN49" s="379">
        <v>0</v>
      </c>
      <c r="AO49" s="379">
        <v>0</v>
      </c>
      <c r="AP49" s="379">
        <v>0</v>
      </c>
      <c r="AQ49" s="379">
        <v>0</v>
      </c>
      <c r="AR49" s="379">
        <v>0</v>
      </c>
      <c r="AS49" s="379">
        <v>0</v>
      </c>
      <c r="AT49" s="379">
        <v>0</v>
      </c>
      <c r="AU49" s="379">
        <v>0</v>
      </c>
      <c r="AV49" s="379">
        <v>0</v>
      </c>
      <c r="AW49" s="379">
        <v>0</v>
      </c>
      <c r="AX49" s="379">
        <v>0</v>
      </c>
      <c r="AY49" s="379">
        <v>0</v>
      </c>
      <c r="AZ49" s="379">
        <v>0</v>
      </c>
      <c r="BA49" s="379">
        <v>0</v>
      </c>
      <c r="BB49" s="379">
        <v>0</v>
      </c>
      <c r="BC49" s="379">
        <v>0</v>
      </c>
      <c r="BD49" s="379">
        <v>0</v>
      </c>
    </row>
    <row r="50" spans="1:56" x14ac:dyDescent="0.25">
      <c r="A50" s="378">
        <v>48</v>
      </c>
      <c r="B50" s="376" t="s">
        <v>489</v>
      </c>
      <c r="C50" s="379">
        <v>0</v>
      </c>
      <c r="D50" s="379">
        <v>0</v>
      </c>
      <c r="E50" s="379">
        <v>0</v>
      </c>
      <c r="F50" s="379">
        <v>0</v>
      </c>
      <c r="G50" s="379">
        <v>0</v>
      </c>
      <c r="H50" s="379">
        <v>0</v>
      </c>
      <c r="I50" s="379">
        <v>0</v>
      </c>
      <c r="J50" s="379">
        <v>0</v>
      </c>
      <c r="K50" s="379">
        <v>0</v>
      </c>
      <c r="L50" s="379">
        <v>0</v>
      </c>
      <c r="M50" s="379">
        <v>0</v>
      </c>
      <c r="N50" s="379">
        <v>0</v>
      </c>
      <c r="O50" s="379">
        <v>0</v>
      </c>
      <c r="P50" s="379">
        <v>0</v>
      </c>
      <c r="Q50" s="379">
        <v>0</v>
      </c>
      <c r="R50" s="379">
        <v>0</v>
      </c>
      <c r="S50" s="379">
        <v>0</v>
      </c>
      <c r="T50" s="379">
        <v>0</v>
      </c>
      <c r="U50" s="379">
        <v>0</v>
      </c>
      <c r="V50" s="381">
        <v>0</v>
      </c>
      <c r="W50" s="379">
        <v>0</v>
      </c>
      <c r="X50" s="379">
        <v>0</v>
      </c>
      <c r="Y50" s="379">
        <v>0</v>
      </c>
      <c r="Z50" s="379">
        <v>0</v>
      </c>
      <c r="AA50" s="379">
        <v>0</v>
      </c>
      <c r="AB50" s="379">
        <v>2.6726124191242415</v>
      </c>
      <c r="AC50" s="379">
        <v>0</v>
      </c>
      <c r="AD50" s="379">
        <v>0</v>
      </c>
      <c r="AE50" s="379">
        <v>0</v>
      </c>
      <c r="AF50" s="379">
        <v>0</v>
      </c>
      <c r="AG50" s="379">
        <v>0</v>
      </c>
      <c r="AH50" s="379">
        <v>0</v>
      </c>
      <c r="AI50" s="379">
        <v>0</v>
      </c>
      <c r="AJ50" s="379">
        <v>0</v>
      </c>
      <c r="AK50" s="379">
        <v>0</v>
      </c>
      <c r="AL50" s="379">
        <v>0</v>
      </c>
      <c r="AM50" s="379">
        <v>0</v>
      </c>
      <c r="AN50" s="379">
        <v>0</v>
      </c>
      <c r="AO50" s="379">
        <v>0</v>
      </c>
      <c r="AP50" s="379">
        <v>0</v>
      </c>
      <c r="AQ50" s="379">
        <v>0</v>
      </c>
      <c r="AR50" s="379">
        <v>0</v>
      </c>
      <c r="AS50" s="379">
        <v>0</v>
      </c>
      <c r="AT50" s="379">
        <v>0</v>
      </c>
      <c r="AU50" s="379">
        <v>0</v>
      </c>
      <c r="AV50" s="379">
        <v>0</v>
      </c>
      <c r="AW50" s="379">
        <v>0</v>
      </c>
      <c r="AX50" s="379">
        <v>0</v>
      </c>
      <c r="AY50" s="379">
        <v>0</v>
      </c>
      <c r="AZ50" s="379">
        <v>0</v>
      </c>
      <c r="BA50" s="379">
        <v>0</v>
      </c>
      <c r="BB50" s="379">
        <v>0</v>
      </c>
      <c r="BC50" s="379">
        <v>0</v>
      </c>
      <c r="BD50" s="379">
        <v>0</v>
      </c>
    </row>
    <row r="51" spans="1:56" x14ac:dyDescent="0.25">
      <c r="A51" s="378">
        <v>49</v>
      </c>
      <c r="B51" s="376" t="s">
        <v>356</v>
      </c>
      <c r="C51" s="379">
        <v>0</v>
      </c>
      <c r="D51" s="379">
        <v>0</v>
      </c>
      <c r="E51" s="379">
        <v>0</v>
      </c>
      <c r="F51" s="379">
        <v>0</v>
      </c>
      <c r="G51" s="379">
        <v>0</v>
      </c>
      <c r="H51" s="379">
        <v>0</v>
      </c>
      <c r="I51" s="379">
        <v>0</v>
      </c>
      <c r="J51" s="379">
        <v>0</v>
      </c>
      <c r="K51" s="379">
        <v>0</v>
      </c>
      <c r="L51" s="379">
        <v>0</v>
      </c>
      <c r="M51" s="379">
        <v>0</v>
      </c>
      <c r="N51" s="379">
        <v>0</v>
      </c>
      <c r="O51" s="379">
        <v>0</v>
      </c>
      <c r="P51" s="379">
        <v>0</v>
      </c>
      <c r="Q51" s="379">
        <v>0</v>
      </c>
      <c r="R51" s="379">
        <v>0</v>
      </c>
      <c r="S51" s="379">
        <v>0</v>
      </c>
      <c r="T51" s="379">
        <v>0</v>
      </c>
      <c r="U51" s="379">
        <v>0</v>
      </c>
      <c r="V51" s="381">
        <v>0</v>
      </c>
      <c r="W51" s="379">
        <v>0</v>
      </c>
      <c r="X51" s="379">
        <v>0</v>
      </c>
      <c r="Y51" s="379">
        <v>0</v>
      </c>
      <c r="Z51" s="379">
        <v>0</v>
      </c>
      <c r="AA51" s="379">
        <v>0</v>
      </c>
      <c r="AB51" s="379">
        <v>0</v>
      </c>
      <c r="AC51" s="379">
        <v>0</v>
      </c>
      <c r="AD51" s="379">
        <v>0</v>
      </c>
      <c r="AE51" s="379">
        <v>0</v>
      </c>
      <c r="AF51" s="379">
        <v>0</v>
      </c>
      <c r="AG51" s="379">
        <v>0</v>
      </c>
      <c r="AH51" s="379">
        <v>0</v>
      </c>
      <c r="AI51" s="379">
        <v>0</v>
      </c>
      <c r="AJ51" s="379">
        <v>0</v>
      </c>
      <c r="AK51" s="379">
        <v>0</v>
      </c>
      <c r="AL51" s="379">
        <v>0</v>
      </c>
      <c r="AM51" s="379">
        <v>0</v>
      </c>
      <c r="AN51" s="379">
        <v>0</v>
      </c>
      <c r="AO51" s="379">
        <v>0</v>
      </c>
      <c r="AP51" s="379">
        <v>0</v>
      </c>
      <c r="AQ51" s="379">
        <v>0</v>
      </c>
      <c r="AR51" s="379">
        <v>0</v>
      </c>
      <c r="AS51" s="379">
        <v>0</v>
      </c>
      <c r="AT51" s="379">
        <v>0</v>
      </c>
      <c r="AU51" s="379">
        <v>0</v>
      </c>
      <c r="AV51" s="379">
        <v>0</v>
      </c>
      <c r="AW51" s="379">
        <v>0</v>
      </c>
      <c r="AX51" s="379">
        <v>0</v>
      </c>
      <c r="AY51" s="379">
        <v>0</v>
      </c>
      <c r="AZ51" s="379">
        <v>0</v>
      </c>
      <c r="BA51" s="379">
        <v>0</v>
      </c>
      <c r="BB51" s="379">
        <v>0</v>
      </c>
      <c r="BC51" s="379">
        <v>0</v>
      </c>
      <c r="BD51" s="379">
        <v>0</v>
      </c>
    </row>
    <row r="52" spans="1:56" x14ac:dyDescent="0.25">
      <c r="A52" s="378">
        <v>50</v>
      </c>
      <c r="B52" s="376" t="s">
        <v>357</v>
      </c>
      <c r="C52" s="379">
        <v>0</v>
      </c>
      <c r="D52" s="379">
        <v>0</v>
      </c>
      <c r="E52" s="379">
        <v>0</v>
      </c>
      <c r="F52" s="379">
        <v>0</v>
      </c>
      <c r="G52" s="379">
        <v>0</v>
      </c>
      <c r="H52" s="379">
        <v>0</v>
      </c>
      <c r="I52" s="379">
        <v>0</v>
      </c>
      <c r="J52" s="379">
        <v>0</v>
      </c>
      <c r="K52" s="379">
        <v>0</v>
      </c>
      <c r="L52" s="379">
        <v>0</v>
      </c>
      <c r="M52" s="379">
        <v>0</v>
      </c>
      <c r="N52" s="379">
        <v>0</v>
      </c>
      <c r="O52" s="379">
        <v>0</v>
      </c>
      <c r="P52" s="379">
        <v>0</v>
      </c>
      <c r="Q52" s="379">
        <v>0</v>
      </c>
      <c r="R52" s="379">
        <v>0</v>
      </c>
      <c r="S52" s="379">
        <v>0</v>
      </c>
      <c r="T52" s="379">
        <v>0</v>
      </c>
      <c r="U52" s="379">
        <v>0</v>
      </c>
      <c r="V52" s="381">
        <v>0</v>
      </c>
      <c r="W52" s="379">
        <v>0</v>
      </c>
      <c r="X52" s="379">
        <v>0</v>
      </c>
      <c r="Y52" s="379">
        <v>0</v>
      </c>
      <c r="Z52" s="379">
        <v>0</v>
      </c>
      <c r="AA52" s="379">
        <v>0</v>
      </c>
      <c r="AB52" s="379">
        <v>0</v>
      </c>
      <c r="AC52" s="379">
        <v>0</v>
      </c>
      <c r="AD52" s="379">
        <v>0</v>
      </c>
      <c r="AE52" s="379">
        <v>0</v>
      </c>
      <c r="AF52" s="379">
        <v>0</v>
      </c>
      <c r="AG52" s="379">
        <v>0</v>
      </c>
      <c r="AH52" s="379">
        <v>0</v>
      </c>
      <c r="AI52" s="379">
        <v>0</v>
      </c>
      <c r="AJ52" s="379">
        <v>0</v>
      </c>
      <c r="AK52" s="379">
        <v>0</v>
      </c>
      <c r="AL52" s="379">
        <v>0</v>
      </c>
      <c r="AM52" s="379">
        <v>0</v>
      </c>
      <c r="AN52" s="379">
        <v>0</v>
      </c>
      <c r="AO52" s="379">
        <v>0</v>
      </c>
      <c r="AP52" s="379">
        <v>0</v>
      </c>
      <c r="AQ52" s="379">
        <v>0</v>
      </c>
      <c r="AR52" s="379">
        <v>0</v>
      </c>
      <c r="AS52" s="379">
        <v>0</v>
      </c>
      <c r="AT52" s="379">
        <v>0</v>
      </c>
      <c r="AU52" s="379">
        <v>0</v>
      </c>
      <c r="AV52" s="379">
        <v>0</v>
      </c>
      <c r="AW52" s="379">
        <v>0</v>
      </c>
      <c r="AX52" s="379">
        <v>0</v>
      </c>
      <c r="AY52" s="379">
        <v>0</v>
      </c>
      <c r="AZ52" s="379">
        <v>0</v>
      </c>
      <c r="BA52" s="379">
        <v>0</v>
      </c>
      <c r="BB52" s="379">
        <v>0</v>
      </c>
      <c r="BC52" s="379">
        <v>0</v>
      </c>
      <c r="BD52" s="379">
        <v>0</v>
      </c>
    </row>
    <row r="53" spans="1:56" x14ac:dyDescent="0.25">
      <c r="A53" s="378">
        <v>51</v>
      </c>
      <c r="B53" s="376" t="s">
        <v>679</v>
      </c>
      <c r="C53" s="379">
        <v>0</v>
      </c>
      <c r="D53" s="379">
        <v>0</v>
      </c>
      <c r="E53" s="379">
        <v>0</v>
      </c>
      <c r="F53" s="379">
        <v>0</v>
      </c>
      <c r="G53" s="379">
        <v>0</v>
      </c>
      <c r="H53" s="379">
        <v>0</v>
      </c>
      <c r="I53" s="379">
        <v>0</v>
      </c>
      <c r="J53" s="379">
        <v>3.74165738677394</v>
      </c>
      <c r="K53" s="379">
        <f>1.24899959967968+(1.73205080756888/10)</f>
        <v>1.4222046804365682</v>
      </c>
      <c r="L53" s="379">
        <v>0</v>
      </c>
      <c r="M53" s="379">
        <v>0</v>
      </c>
      <c r="N53" s="379">
        <v>0</v>
      </c>
      <c r="O53" s="379">
        <v>1.7320508075688801</v>
      </c>
      <c r="P53" s="379">
        <v>0.92894535134257905</v>
      </c>
      <c r="Q53" s="379">
        <f>2.23606797749979+(1.17124557190675/10)</f>
        <v>2.3531925346904647</v>
      </c>
      <c r="R53" s="379">
        <f>2+(2/8)</f>
        <v>2.25</v>
      </c>
      <c r="S53" s="379">
        <v>1.55816206553272</v>
      </c>
      <c r="T53" s="379">
        <v>1.69865893482793</v>
      </c>
      <c r="U53" s="379">
        <v>0.72869864602114998</v>
      </c>
      <c r="V53" s="381">
        <v>2.2360679774997898</v>
      </c>
      <c r="W53" s="379">
        <f>4.24264068711929+(3.13896484116559/16)</f>
        <v>4.4388259896921394</v>
      </c>
      <c r="X53" s="379">
        <v>0</v>
      </c>
      <c r="Y53" s="379">
        <v>0</v>
      </c>
      <c r="Z53" s="379">
        <v>0.86917879486265004</v>
      </c>
      <c r="AA53" s="379">
        <v>1.41421356237309</v>
      </c>
      <c r="AB53" s="379">
        <v>0</v>
      </c>
      <c r="AC53" s="379">
        <v>0</v>
      </c>
      <c r="AD53" s="379">
        <v>1.0053133889010399</v>
      </c>
      <c r="AE53" s="379">
        <v>2.0024985486897999</v>
      </c>
      <c r="AF53" s="379">
        <v>1.4142135623731</v>
      </c>
      <c r="AG53" s="379">
        <v>1.67344290280329</v>
      </c>
      <c r="AH53" s="379">
        <v>2.5322739495745399</v>
      </c>
      <c r="AI53" s="379">
        <f>1.94008909162362+(3.33204954107276/21)</f>
        <v>2.0987581173889893</v>
      </c>
      <c r="AJ53" s="379">
        <v>0</v>
      </c>
      <c r="AK53" s="379">
        <v>0</v>
      </c>
      <c r="AL53" s="379">
        <v>0</v>
      </c>
      <c r="AM53" s="379">
        <v>1.41421356237309</v>
      </c>
      <c r="AN53" s="379">
        <f>0.88038051862855+(2.64575131106459/8)</f>
        <v>1.2110994325116238</v>
      </c>
      <c r="AO53" s="379">
        <f>1.73205080756888+(0.868966075756888/4)</f>
        <v>1.9492923265081021</v>
      </c>
      <c r="AP53" s="379">
        <f>1.21072230155784+(3.16227766016838/10)</f>
        <v>1.5269500675746781</v>
      </c>
      <c r="AQ53" s="379">
        <v>0</v>
      </c>
      <c r="AR53" s="379">
        <v>0</v>
      </c>
      <c r="AS53" s="379">
        <v>0</v>
      </c>
      <c r="AT53" s="379">
        <v>0</v>
      </c>
      <c r="AU53" s="379">
        <f>1.93988560735048+(2/14)</f>
        <v>2.0827427502076228</v>
      </c>
      <c r="AV53" s="379">
        <v>0</v>
      </c>
      <c r="AW53" s="379">
        <v>0</v>
      </c>
      <c r="AX53" s="379">
        <v>0</v>
      </c>
      <c r="AY53" s="379">
        <v>0</v>
      </c>
      <c r="AZ53" s="379">
        <v>0</v>
      </c>
      <c r="BA53" s="379">
        <v>0</v>
      </c>
      <c r="BB53" s="379">
        <v>0</v>
      </c>
      <c r="BC53" s="379">
        <v>0</v>
      </c>
      <c r="BD53" s="379">
        <v>0</v>
      </c>
    </row>
    <row r="54" spans="1:56" x14ac:dyDescent="0.25">
      <c r="A54" s="378">
        <v>52</v>
      </c>
      <c r="B54" s="376" t="s">
        <v>5</v>
      </c>
      <c r="C54" s="379">
        <v>0</v>
      </c>
      <c r="D54" s="379">
        <v>0</v>
      </c>
      <c r="E54" s="379">
        <v>0</v>
      </c>
      <c r="F54" s="379">
        <v>0</v>
      </c>
      <c r="G54" s="379">
        <v>0</v>
      </c>
      <c r="H54" s="379">
        <v>0</v>
      </c>
      <c r="I54" s="379">
        <v>0</v>
      </c>
      <c r="J54" s="379">
        <v>0</v>
      </c>
      <c r="K54" s="379">
        <v>0</v>
      </c>
      <c r="L54" s="379">
        <v>2.01540518053748</v>
      </c>
      <c r="M54" s="379">
        <v>0</v>
      </c>
      <c r="N54" s="379">
        <v>4.1180497002019498</v>
      </c>
      <c r="O54" s="379">
        <v>0</v>
      </c>
      <c r="P54" s="379">
        <v>0</v>
      </c>
      <c r="Q54" s="379">
        <v>0</v>
      </c>
      <c r="R54" s="379">
        <v>0</v>
      </c>
      <c r="S54" s="379">
        <v>0</v>
      </c>
      <c r="T54" s="379">
        <v>0</v>
      </c>
      <c r="U54" s="379">
        <v>0</v>
      </c>
      <c r="V54" s="381">
        <v>0</v>
      </c>
      <c r="W54" s="379">
        <v>0</v>
      </c>
      <c r="X54" s="379">
        <v>0</v>
      </c>
      <c r="Y54" s="379">
        <v>0</v>
      </c>
      <c r="Z54" s="379">
        <v>0</v>
      </c>
      <c r="AA54" s="379">
        <v>0</v>
      </c>
      <c r="AB54" s="379">
        <v>0</v>
      </c>
      <c r="AC54" s="379">
        <v>0</v>
      </c>
      <c r="AD54" s="379">
        <v>0</v>
      </c>
      <c r="AE54" s="379">
        <v>0</v>
      </c>
      <c r="AF54" s="379">
        <v>0</v>
      </c>
      <c r="AG54" s="379">
        <v>3</v>
      </c>
      <c r="AH54" s="379">
        <v>0</v>
      </c>
      <c r="AI54" s="379">
        <v>0</v>
      </c>
      <c r="AJ54" s="379">
        <v>0</v>
      </c>
      <c r="AK54" s="379">
        <f>1.41421356237309+(1.41497117678151/12)</f>
        <v>1.5321278271048826</v>
      </c>
      <c r="AL54" s="379">
        <v>0</v>
      </c>
      <c r="AM54" s="379">
        <v>0</v>
      </c>
      <c r="AN54" s="379">
        <v>0</v>
      </c>
      <c r="AO54" s="379">
        <v>0</v>
      </c>
      <c r="AP54" s="379">
        <v>0</v>
      </c>
      <c r="AQ54" s="379">
        <v>0</v>
      </c>
      <c r="AR54" s="379">
        <v>0</v>
      </c>
      <c r="AS54" s="379">
        <v>0</v>
      </c>
      <c r="AT54" s="379">
        <v>0</v>
      </c>
      <c r="AU54" s="379">
        <v>0</v>
      </c>
      <c r="AV54" s="379">
        <v>0</v>
      </c>
      <c r="AW54" s="379">
        <v>0</v>
      </c>
      <c r="AX54" s="379">
        <v>0</v>
      </c>
      <c r="AY54" s="379">
        <v>0</v>
      </c>
      <c r="AZ54" s="379">
        <v>0</v>
      </c>
      <c r="BA54" s="379">
        <v>0</v>
      </c>
      <c r="BB54" s="379">
        <v>0</v>
      </c>
      <c r="BC54" s="379">
        <v>0</v>
      </c>
      <c r="BD54" s="379">
        <v>0</v>
      </c>
    </row>
    <row r="55" spans="1:56" x14ac:dyDescent="0.25">
      <c r="A55" s="378">
        <v>53</v>
      </c>
      <c r="B55" s="376" t="s">
        <v>727</v>
      </c>
      <c r="C55" s="379">
        <v>0</v>
      </c>
      <c r="D55" s="379">
        <v>0</v>
      </c>
      <c r="E55" s="379">
        <v>0</v>
      </c>
      <c r="F55" s="379">
        <v>0</v>
      </c>
      <c r="G55" s="379">
        <v>0</v>
      </c>
      <c r="H55" s="379">
        <v>0</v>
      </c>
      <c r="I55" s="379">
        <v>0</v>
      </c>
      <c r="J55" s="379">
        <v>0</v>
      </c>
      <c r="K55" s="379">
        <v>0</v>
      </c>
      <c r="L55" s="379">
        <v>0</v>
      </c>
      <c r="M55" s="379">
        <v>0</v>
      </c>
      <c r="N55" s="379">
        <v>0</v>
      </c>
      <c r="O55" s="379">
        <v>0</v>
      </c>
      <c r="P55" s="379">
        <v>0</v>
      </c>
      <c r="Q55" s="379">
        <v>0</v>
      </c>
      <c r="R55" s="379">
        <v>0</v>
      </c>
      <c r="S55" s="379">
        <v>0</v>
      </c>
      <c r="T55" s="379">
        <v>0</v>
      </c>
      <c r="U55" s="379">
        <v>0</v>
      </c>
      <c r="V55" s="381">
        <v>0</v>
      </c>
      <c r="W55" s="379">
        <v>0</v>
      </c>
      <c r="X55" s="379">
        <v>0</v>
      </c>
      <c r="Y55" s="379">
        <v>0</v>
      </c>
      <c r="Z55" s="379">
        <v>0</v>
      </c>
      <c r="AA55" s="379">
        <v>0</v>
      </c>
      <c r="AB55" s="379">
        <v>0</v>
      </c>
      <c r="AC55" s="378">
        <v>0</v>
      </c>
      <c r="AD55" s="379">
        <v>0</v>
      </c>
      <c r="AE55" s="379">
        <v>0</v>
      </c>
      <c r="AF55" s="379">
        <v>0</v>
      </c>
      <c r="AG55" s="379">
        <v>0</v>
      </c>
      <c r="AH55" s="379">
        <v>0</v>
      </c>
      <c r="AI55" s="378">
        <v>0</v>
      </c>
      <c r="AJ55" s="379">
        <v>0</v>
      </c>
      <c r="AK55" s="379">
        <v>0</v>
      </c>
      <c r="AL55" s="379">
        <v>0</v>
      </c>
      <c r="AM55" s="379">
        <v>0</v>
      </c>
      <c r="AN55" s="379">
        <v>0</v>
      </c>
      <c r="AO55" s="379">
        <v>0</v>
      </c>
      <c r="AP55" s="379">
        <v>0</v>
      </c>
      <c r="AQ55" s="379">
        <v>0</v>
      </c>
      <c r="AR55" s="379">
        <v>0</v>
      </c>
      <c r="AS55" s="379">
        <v>0</v>
      </c>
      <c r="AT55" s="379">
        <v>0</v>
      </c>
      <c r="AU55" s="379">
        <v>0</v>
      </c>
      <c r="AV55" s="379">
        <v>0</v>
      </c>
      <c r="AW55" s="379">
        <v>0</v>
      </c>
      <c r="AX55" s="379">
        <v>0</v>
      </c>
      <c r="AY55" s="379">
        <v>0</v>
      </c>
      <c r="AZ55" s="379">
        <v>0</v>
      </c>
      <c r="BA55" s="379">
        <v>0</v>
      </c>
      <c r="BB55" s="379">
        <v>0</v>
      </c>
      <c r="BC55" s="379">
        <v>0</v>
      </c>
      <c r="BD55" s="379">
        <v>0</v>
      </c>
    </row>
    <row r="56" spans="1:56" x14ac:dyDescent="0.25">
      <c r="A56" s="378">
        <v>54</v>
      </c>
      <c r="B56" s="376" t="s">
        <v>681</v>
      </c>
      <c r="C56" s="379">
        <v>0</v>
      </c>
      <c r="D56" s="379">
        <v>0</v>
      </c>
      <c r="E56" s="379">
        <v>0</v>
      </c>
      <c r="F56" s="379">
        <v>0</v>
      </c>
      <c r="G56" s="379">
        <v>0</v>
      </c>
      <c r="H56" s="379">
        <v>0</v>
      </c>
      <c r="I56" s="379">
        <f>0.329764011658969+(0.611279438097119/3)</f>
        <v>0.53352382435800871</v>
      </c>
      <c r="J56" s="379">
        <v>0</v>
      </c>
      <c r="K56" s="379">
        <f>1.08835830934661+(1.73205080756888/10)</f>
        <v>1.2615633901034982</v>
      </c>
      <c r="L56" s="379">
        <v>0</v>
      </c>
      <c r="M56" s="379">
        <v>0</v>
      </c>
      <c r="N56" s="379">
        <v>0</v>
      </c>
      <c r="O56" s="379">
        <v>0</v>
      </c>
      <c r="P56" s="379">
        <v>0</v>
      </c>
      <c r="Q56" s="379">
        <v>0</v>
      </c>
      <c r="R56" s="379">
        <v>0</v>
      </c>
      <c r="S56" s="379">
        <v>0</v>
      </c>
      <c r="T56" s="379">
        <v>0</v>
      </c>
      <c r="U56" s="379">
        <v>0</v>
      </c>
      <c r="V56" s="381">
        <v>0</v>
      </c>
      <c r="W56" s="379">
        <v>0</v>
      </c>
      <c r="X56" s="379">
        <v>0</v>
      </c>
      <c r="Y56" s="379">
        <v>0</v>
      </c>
      <c r="Z56" s="379">
        <v>0</v>
      </c>
      <c r="AA56" s="379">
        <v>0</v>
      </c>
      <c r="AB56" s="379">
        <v>0</v>
      </c>
      <c r="AC56" s="379">
        <f>3.7113616441524+(3.17251677289325/17)</f>
        <v>3.8979802778520032</v>
      </c>
      <c r="AD56" s="379">
        <v>0</v>
      </c>
      <c r="AE56" s="379">
        <v>0</v>
      </c>
      <c r="AF56" s="379">
        <v>0</v>
      </c>
      <c r="AG56" s="379">
        <v>0</v>
      </c>
      <c r="AH56" s="379">
        <v>0</v>
      </c>
      <c r="AI56" s="379">
        <f>3.93306221998612+(3.33204954107276/21)</f>
        <v>4.0917312457514896</v>
      </c>
      <c r="AJ56" s="379">
        <v>0</v>
      </c>
      <c r="AK56" s="379">
        <v>0</v>
      </c>
      <c r="AL56" s="379">
        <v>0</v>
      </c>
      <c r="AM56" s="379">
        <v>0</v>
      </c>
      <c r="AN56" s="379">
        <v>0</v>
      </c>
      <c r="AO56" s="379">
        <f>0.878919791562347+(0.868966075756888/4)</f>
        <v>1.0961613105015691</v>
      </c>
      <c r="AP56" s="379">
        <f>2.48587848390357+(3.16227766016838/10)</f>
        <v>2.8021062499204081</v>
      </c>
      <c r="AQ56" s="379">
        <v>0</v>
      </c>
      <c r="AR56" s="379">
        <v>0</v>
      </c>
      <c r="AS56" s="379">
        <v>0</v>
      </c>
      <c r="AT56" s="379">
        <v>1.4142135623731</v>
      </c>
      <c r="AU56" s="379">
        <v>0</v>
      </c>
      <c r="AV56" s="379">
        <v>0</v>
      </c>
      <c r="AW56" s="379">
        <v>0</v>
      </c>
      <c r="AX56" s="379">
        <v>0</v>
      </c>
      <c r="AY56" s="379">
        <v>0</v>
      </c>
      <c r="AZ56" s="379">
        <v>0</v>
      </c>
      <c r="BA56" s="379">
        <v>0</v>
      </c>
      <c r="BB56" s="379">
        <v>0</v>
      </c>
      <c r="BC56" s="379">
        <v>0</v>
      </c>
      <c r="BD56" s="379">
        <v>0</v>
      </c>
    </row>
    <row r="57" spans="1:56" x14ac:dyDescent="0.25">
      <c r="A57" s="363">
        <v>55</v>
      </c>
      <c r="B57" s="391" t="s">
        <v>352</v>
      </c>
      <c r="C57" s="392">
        <v>0</v>
      </c>
      <c r="D57" s="392">
        <v>0</v>
      </c>
      <c r="E57" s="392">
        <v>0</v>
      </c>
      <c r="F57" s="392">
        <v>0</v>
      </c>
      <c r="G57" s="392">
        <v>0</v>
      </c>
      <c r="H57" s="392">
        <v>0</v>
      </c>
      <c r="I57" s="392">
        <v>0</v>
      </c>
      <c r="J57" s="392">
        <v>0</v>
      </c>
      <c r="K57" s="392">
        <v>0</v>
      </c>
      <c r="L57" s="392">
        <v>0</v>
      </c>
      <c r="M57" s="392">
        <v>0</v>
      </c>
      <c r="N57" s="392">
        <v>0</v>
      </c>
      <c r="O57" s="392">
        <v>0</v>
      </c>
      <c r="P57" s="392">
        <v>0</v>
      </c>
      <c r="Q57" s="392">
        <v>0</v>
      </c>
      <c r="R57" s="392">
        <v>0</v>
      </c>
      <c r="S57" s="392">
        <v>0</v>
      </c>
      <c r="T57" s="392">
        <v>0</v>
      </c>
      <c r="U57" s="392">
        <v>0</v>
      </c>
      <c r="V57" s="392">
        <v>0</v>
      </c>
      <c r="W57" s="392">
        <v>0</v>
      </c>
      <c r="X57" s="392">
        <v>0</v>
      </c>
      <c r="Y57" s="392">
        <v>0</v>
      </c>
      <c r="Z57" s="392">
        <v>0</v>
      </c>
      <c r="AA57" s="392">
        <v>0</v>
      </c>
      <c r="AB57" s="392">
        <v>0</v>
      </c>
      <c r="AC57" s="392">
        <v>0</v>
      </c>
      <c r="AD57" s="392">
        <v>0</v>
      </c>
      <c r="AE57" s="392">
        <v>0</v>
      </c>
      <c r="AF57" s="392">
        <v>0</v>
      </c>
      <c r="AG57" s="392">
        <v>0</v>
      </c>
      <c r="AH57" s="392">
        <v>0</v>
      </c>
      <c r="AI57" s="392">
        <v>0</v>
      </c>
      <c r="AJ57" s="392">
        <v>0</v>
      </c>
      <c r="AK57" s="392">
        <v>0</v>
      </c>
      <c r="AL57" s="392">
        <v>0</v>
      </c>
      <c r="AM57" s="392">
        <v>0</v>
      </c>
      <c r="AN57" s="392">
        <v>0</v>
      </c>
      <c r="AO57" s="392">
        <v>0</v>
      </c>
      <c r="AP57" s="392">
        <v>0</v>
      </c>
      <c r="AQ57" s="392">
        <v>0</v>
      </c>
      <c r="AR57" s="392">
        <v>0</v>
      </c>
      <c r="AS57" s="392">
        <v>0</v>
      </c>
      <c r="AT57" s="392">
        <v>0</v>
      </c>
      <c r="AU57" s="392">
        <v>0</v>
      </c>
      <c r="AV57" s="392">
        <v>0</v>
      </c>
      <c r="AW57" s="392">
        <v>0</v>
      </c>
      <c r="AX57" s="392">
        <v>0</v>
      </c>
      <c r="AY57" s="392">
        <v>0</v>
      </c>
      <c r="AZ57" s="392">
        <v>0</v>
      </c>
      <c r="BA57" s="392">
        <v>0</v>
      </c>
      <c r="BB57" s="392">
        <v>0</v>
      </c>
      <c r="BC57" s="392">
        <v>0</v>
      </c>
      <c r="BD57" s="392">
        <v>0</v>
      </c>
    </row>
  </sheetData>
  <mergeCells count="1">
    <mergeCell ref="A1:P1"/>
  </mergeCells>
  <conditionalFormatting sqref="C55:AB55 AD55:AH55 AJ55:BD55 C56:BD57 C3:BD10 C12:BD15 C11:AA11 AC11:BD11 C17:BD18 C16:AA16 AC16:BD16 C40:BD54 C39:AH39 AJ39:BD39 C34:BD38 C33:AH33 AJ33:BD33 C22:BD32 C21:AH21 AJ21:BD21 C20:BD20 C19:AH19 AJ19:BD19">
    <cfRule type="cellIs" dxfId="11" priority="3" operator="equal">
      <formula>0</formula>
    </cfRule>
  </conditionalFormatting>
  <conditionalFormatting sqref="C3:BD10 C12:BD15 C11:AA11 AC11:BD11 C17:BD18 C16:AA16 AC16:BD16 C40:BD57 C39:AH39 AJ39:BD39 C34:BD38 C33:AH33 AJ33:BD33 C22:BD32 C21:AH21 AJ21:BD21 C20:BD20 C19:AH19 AJ19:BD19">
    <cfRule type="cellIs" dxfId="10" priority="2" operator="greaterThan">
      <formula>5</formula>
    </cfRule>
  </conditionalFormatting>
  <conditionalFormatting sqref="A1">
    <cfRule type="cellIs" dxfId="9" priority="1" operator="equal">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vt:i4>
      </vt:variant>
    </vt:vector>
  </HeadingPairs>
  <TitlesOfParts>
    <vt:vector size="27" baseType="lpstr">
      <vt:lpstr>Table of Contents</vt:lpstr>
      <vt:lpstr>A.1 Data Sources</vt:lpstr>
      <vt:lpstr>A.2 FullResvModel_FxnGrp</vt:lpstr>
      <vt:lpstr>A.3 FullyResolvedParamRef</vt:lpstr>
      <vt:lpstr>A.4 FullyResolvedDietMatrix</vt:lpstr>
      <vt:lpstr>A.5 FullModel Diet Matrix Refs</vt:lpstr>
      <vt:lpstr>A.6FullRes Detritus Fate</vt:lpstr>
      <vt:lpstr>A.7 FullyResolvedModel_Pedigree</vt:lpstr>
      <vt:lpstr>A.8 FullyResDietPedigree</vt:lpstr>
      <vt:lpstr>A.9 AggModelParameters</vt:lpstr>
      <vt:lpstr>A.10 AggModel Diet Matrix</vt:lpstr>
      <vt:lpstr>A.11 AggModel detritus fate</vt:lpstr>
      <vt:lpstr>A.12 E2E prod matrix</vt:lpstr>
      <vt:lpstr>A.13 Zooplantkon WWTs</vt:lpstr>
      <vt:lpstr>A.14 Zoopl WWT equations</vt:lpstr>
      <vt:lpstr>A.15 Jellyfish BV2WWT equations</vt:lpstr>
      <vt:lpstr>A.16 Fish&amp;Invert L2Wt Eq</vt:lpstr>
      <vt:lpstr>A.17 Mammal scaling</vt:lpstr>
      <vt:lpstr>A.18 Mammal &amp; Turtle WWT</vt:lpstr>
      <vt:lpstr>A.19 Marine bird biomass</vt:lpstr>
      <vt:lpstr>A.20 Comm Fish Spp.</vt:lpstr>
      <vt:lpstr>A.21 RelCont of FxnGrp</vt:lpstr>
      <vt:lpstr>A.22 Rec Fish Spp.</vt:lpstr>
      <vt:lpstr>A.23 Rec fish discard rates</vt:lpstr>
      <vt:lpstr>A.24 Scaling factors</vt:lpstr>
      <vt:lpstr>'A.20 Comm Fish Spp.'!Table5_1_1CommFisheryToFxnGrp</vt:lpstr>
      <vt:lpstr>'A.1 Data Sources'!Table5_2_1_Rec_Landing_Data_Sources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Robinson</dc:creator>
  <cp:lastModifiedBy>Robinson, Kelly</cp:lastModifiedBy>
  <dcterms:created xsi:type="dcterms:W3CDTF">2014-07-02T21:06:33Z</dcterms:created>
  <dcterms:modified xsi:type="dcterms:W3CDTF">2015-03-18T01:44:55Z</dcterms:modified>
</cp:coreProperties>
</file>